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DieseArbeitsmappe" defaultThemeVersion="124226"/>
  <mc:AlternateContent xmlns:mc="http://schemas.openxmlformats.org/markup-compatibility/2006">
    <mc:Choice Requires="x15">
      <x15ac:absPath xmlns:x15ac="http://schemas.microsoft.com/office/spreadsheetml/2010/11/ac" url="C:\Users\Wolfgang Thaler\Desktop\"/>
    </mc:Choice>
  </mc:AlternateContent>
  <xr:revisionPtr revIDLastSave="0" documentId="13_ncr:1_{14B590F4-2919-4BD9-AB81-2B40D2C5EF0E}" xr6:coauthVersionLast="47" xr6:coauthVersionMax="47" xr10:uidLastSave="{00000000-0000-0000-0000-000000000000}"/>
  <bookViews>
    <workbookView xWindow="-108" yWindow="-108" windowWidth="23256" windowHeight="12576" xr2:uid="{00000000-000D-0000-FFFF-FFFF00000000}"/>
  </bookViews>
  <sheets>
    <sheet name="Calcolo_Berechnung" sheetId="2" r:id="rId1"/>
    <sheet name="Categorie_Kategorien" sheetId="1" r:id="rId2"/>
    <sheet name="TabA" sheetId="8" r:id="rId3"/>
    <sheet name="TabB" sheetId="10" r:id="rId4"/>
    <sheet name="TabS" sheetId="7" r:id="rId5"/>
  </sheets>
  <definedNames>
    <definedName name="cat">Categorie_Kategorien!$B$6:$J$13</definedName>
    <definedName name="_xlnm.Print_Area" localSheetId="0">Calcolo_Berechnung!$B$2:$O$77</definedName>
    <definedName name="_xlnm.Print_Area" localSheetId="1">Categorie_Kategorien!$B$1:$I$17</definedName>
    <definedName name="_xlnm.Print_Area" localSheetId="2">TabA!$A$1:$I$60</definedName>
    <definedName name="_xlnm.Print_Area" localSheetId="3">TabB!$A$1:$E$26</definedName>
    <definedName name="_xlnm.Print_Area" localSheetId="4">TabS!$A$1:$F$55</definedName>
    <definedName name="spese">TabS!$G$9:$H$52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2" l="1"/>
  <c r="H53" i="2"/>
  <c r="F47" i="2"/>
  <c r="F46" i="2"/>
  <c r="F43" i="2"/>
  <c r="F42" i="2"/>
  <c r="F39" i="2"/>
  <c r="F38" i="2"/>
  <c r="F35" i="2"/>
  <c r="F34" i="2"/>
  <c r="F31" i="2"/>
  <c r="F67" i="2"/>
  <c r="B48" i="8"/>
  <c r="C48" i="8"/>
  <c r="B47" i="8"/>
  <c r="C47" i="8"/>
  <c r="B42" i="8"/>
  <c r="C53" i="2"/>
  <c r="B6" i="10"/>
  <c r="B38" i="8"/>
  <c r="C38" i="8"/>
  <c r="C59" i="2"/>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C42" i="8"/>
  <c r="B43" i="8"/>
  <c r="C43" i="8"/>
  <c r="F47" i="8"/>
  <c r="F48" i="8"/>
  <c r="D47" i="8"/>
  <c r="D48" i="8"/>
  <c r="F43" i="8"/>
  <c r="F42" i="8"/>
  <c r="I51" i="2"/>
  <c r="L53" i="2"/>
  <c r="N20" i="2"/>
  <c r="I57" i="2"/>
  <c r="H70" i="2"/>
  <c r="B37" i="8"/>
  <c r="C37" i="8"/>
  <c r="F38" i="8"/>
  <c r="F37" i="8"/>
  <c r="D37" i="8"/>
  <c r="D38" i="8"/>
  <c r="D43" i="8"/>
  <c r="D42" i="8"/>
  <c r="O7" i="10"/>
  <c r="O8" i="10"/>
  <c r="O9" i="10"/>
  <c r="O21" i="10"/>
  <c r="O17" i="2"/>
  <c r="O16" i="2"/>
  <c r="C17" i="2"/>
  <c r="C16" i="2"/>
  <c r="C27" i="2"/>
  <c r="O11" i="10"/>
  <c r="O13" i="10"/>
  <c r="O16" i="10"/>
  <c r="O22" i="10"/>
  <c r="O18" i="10"/>
  <c r="O10" i="10"/>
  <c r="O12" i="10"/>
  <c r="O17" i="10"/>
  <c r="O23" i="10"/>
  <c r="O15" i="10"/>
  <c r="O20" i="10"/>
  <c r="O14" i="10"/>
  <c r="O26" i="10"/>
  <c r="O24" i="10"/>
  <c r="G43" i="8"/>
  <c r="G38" i="8"/>
  <c r="G37" i="8"/>
  <c r="E43" i="8"/>
  <c r="E37" i="8"/>
  <c r="G47" i="8"/>
  <c r="E48" i="8"/>
  <c r="G42" i="8"/>
  <c r="E38" i="8"/>
  <c r="E42" i="8"/>
  <c r="G48" i="8"/>
  <c r="E47" i="8"/>
  <c r="F49" i="2" l="1"/>
  <c r="E49" i="8"/>
  <c r="H42" i="8"/>
  <c r="E44" i="8"/>
  <c r="H43" i="8"/>
  <c r="H48" i="8"/>
  <c r="H37" i="8"/>
  <c r="H47" i="8"/>
  <c r="H38" i="8"/>
  <c r="E39" i="8"/>
  <c r="G39" i="8" l="1"/>
  <c r="H39" i="8" s="1"/>
  <c r="H26" i="2" s="1"/>
  <c r="F27" i="2" s="1"/>
  <c r="K34" i="2" s="1"/>
  <c r="G44" i="8"/>
  <c r="H44" i="8" s="1"/>
  <c r="H52" i="2" s="1"/>
  <c r="F53" i="2" s="1"/>
  <c r="K53" i="2" s="1"/>
  <c r="K56" i="2" s="1"/>
  <c r="G49" i="8"/>
  <c r="H49" i="8" s="1"/>
  <c r="H58" i="2" s="1"/>
  <c r="F59" i="2" s="1"/>
  <c r="K60" i="2" s="1"/>
  <c r="K35" i="2" l="1"/>
  <c r="K33" i="2" s="1"/>
  <c r="K46" i="2"/>
  <c r="K31" i="2"/>
  <c r="K27" i="2"/>
  <c r="K42" i="2"/>
  <c r="K39" i="2"/>
  <c r="K38" i="2"/>
  <c r="K43" i="2"/>
  <c r="K47" i="2"/>
  <c r="K63" i="2"/>
  <c r="K45" i="2" l="1"/>
  <c r="K30" i="2"/>
  <c r="K37" i="2"/>
  <c r="K41" i="2"/>
  <c r="K49" i="2" l="1"/>
  <c r="K65" i="2" s="1"/>
  <c r="E70" i="2" l="1"/>
  <c r="K70" i="2" s="1"/>
  <c r="K72" i="2" s="1"/>
  <c r="Q27" i="2"/>
  <c r="Q38" i="2" l="1"/>
  <c r="R38" i="2" s="1"/>
  <c r="N38" i="2" s="1"/>
  <c r="Q46" i="2"/>
  <c r="R46" i="2" s="1"/>
  <c r="N46" i="2" s="1"/>
  <c r="Q35" i="2"/>
  <c r="R35" i="2" s="1"/>
  <c r="N35" i="2" s="1"/>
  <c r="Q42" i="2"/>
  <c r="R42" i="2" s="1"/>
  <c r="N42" i="2" s="1"/>
  <c r="Q39" i="2"/>
  <c r="R39" i="2" s="1"/>
  <c r="N39" i="2" s="1"/>
  <c r="Q53" i="2"/>
  <c r="R53" i="2" s="1"/>
  <c r="N53" i="2" s="1"/>
  <c r="N56" i="2" s="1"/>
  <c r="Q47" i="2"/>
  <c r="R47" i="2" s="1"/>
  <c r="N47" i="2" s="1"/>
  <c r="Q34" i="2"/>
  <c r="R34" i="2" s="1"/>
  <c r="N34" i="2" s="1"/>
  <c r="Q60" i="2"/>
  <c r="R60" i="2" s="1"/>
  <c r="N60" i="2" s="1"/>
  <c r="N63" i="2" s="1"/>
  <c r="Q43" i="2"/>
  <c r="R43" i="2" s="1"/>
  <c r="N43" i="2" s="1"/>
  <c r="Q31" i="2"/>
  <c r="N33" i="2" l="1"/>
  <c r="Q65" i="2"/>
  <c r="R31" i="2"/>
  <c r="N31" i="2" s="1"/>
  <c r="N30" i="2" s="1"/>
  <c r="N45" i="2"/>
  <c r="N41" i="2"/>
  <c r="N37" i="2"/>
  <c r="N49" i="2" l="1"/>
  <c r="N7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win2</author>
    <author>User</author>
    <author>Harald Zimmerhofer</author>
  </authors>
  <commentList>
    <comment ref="E9" authorId="0" shapeId="0" xr:uid="{00000000-0006-0000-0000-000001000000}">
      <text>
        <r>
          <rPr>
            <b/>
            <sz val="8"/>
            <color indexed="81"/>
            <rFont val="Tahoma"/>
            <family val="2"/>
          </rPr>
          <t>Nome del progetto
Projekttitel eingeben</t>
        </r>
      </text>
    </comment>
    <comment ref="E12" authorId="0" shapeId="0" xr:uid="{00000000-0006-0000-0000-000002000000}">
      <text>
        <r>
          <rPr>
            <b/>
            <sz val="8"/>
            <color indexed="81"/>
            <rFont val="Tahoma"/>
            <family val="2"/>
          </rPr>
          <t>Nome e indirizzo della committenza
Name und Adresse der Auftraggeber</t>
        </r>
      </text>
    </comment>
    <comment ref="B16" authorId="0" shapeId="0" xr:uid="{00000000-0006-0000-0000-000003000000}">
      <text>
        <r>
          <rPr>
            <b/>
            <sz val="9"/>
            <color indexed="81"/>
            <rFont val="Tahoma"/>
            <family val="2"/>
          </rPr>
          <t>cliccare e scegliere: 1a, 1b, 1c, 1d</t>
        </r>
        <r>
          <rPr>
            <sz val="9"/>
            <color indexed="81"/>
            <rFont val="Tahoma"/>
            <family val="2"/>
          </rPr>
          <t xml:space="preserve"> o </t>
        </r>
        <r>
          <rPr>
            <b/>
            <sz val="9"/>
            <color indexed="81"/>
            <rFont val="Tahoma"/>
            <family val="2"/>
          </rPr>
          <t xml:space="preserve">1e
</t>
        </r>
        <r>
          <rPr>
            <sz val="9"/>
            <color indexed="81"/>
            <rFont val="Tahoma"/>
            <family val="2"/>
          </rPr>
          <t>descrizioni vedi tabella "Classi"</t>
        </r>
        <r>
          <rPr>
            <b/>
            <sz val="9"/>
            <color indexed="81"/>
            <rFont val="Tahoma"/>
            <family val="2"/>
          </rPr>
          <t xml:space="preserve">
anklicken und auswählen: 1a, 1b, 1c, 1d  </t>
        </r>
        <r>
          <rPr>
            <sz val="9"/>
            <color indexed="81"/>
            <rFont val="Tahoma"/>
            <family val="2"/>
          </rPr>
          <t>oder</t>
        </r>
        <r>
          <rPr>
            <b/>
            <sz val="9"/>
            <color indexed="81"/>
            <rFont val="Tahoma"/>
            <family val="2"/>
          </rPr>
          <t xml:space="preserve"> 1e
</t>
        </r>
        <r>
          <rPr>
            <sz val="9"/>
            <color indexed="81"/>
            <rFont val="Tahoma"/>
            <family val="2"/>
          </rPr>
          <t>Beschreibungen siehe Tabelle "Kategorien"</t>
        </r>
      </text>
    </comment>
    <comment ref="G19" authorId="0" shapeId="0" xr:uid="{00000000-0006-0000-0000-000004000000}">
      <text>
        <r>
          <rPr>
            <b/>
            <sz val="8"/>
            <color indexed="81"/>
            <rFont val="Tahoma"/>
            <family val="2"/>
          </rPr>
          <t>Inserire l'importo netto dei lavori di costruzione (comprensivo di installazioni elettriche e impianti termosanitari )
Netto Baukosten eingeben (inkl. Haustechnik und Elektrotechnik)</t>
        </r>
      </text>
    </comment>
    <comment ref="B31" authorId="1" shapeId="0" xr:uid="{F84BA81B-C9B2-49B9-9A48-FBC32C21F910}">
      <text>
        <r>
          <rPr>
            <b/>
            <sz val="9"/>
            <color indexed="81"/>
            <rFont val="Segoe UI"/>
            <family val="2"/>
          </rPr>
          <t>cliccare e scegliere: 1 o 0
anklicken und auswählen: 1 oder 0</t>
        </r>
        <r>
          <rPr>
            <sz val="9"/>
            <color indexed="81"/>
            <rFont val="Segoe UI"/>
            <family val="2"/>
          </rPr>
          <t xml:space="preserve">
</t>
        </r>
      </text>
    </comment>
    <comment ref="B34" authorId="1" shapeId="0" xr:uid="{B9F410DC-73CA-4CDA-A5CC-58A6A71AF7BC}">
      <text>
        <r>
          <rPr>
            <b/>
            <sz val="9"/>
            <color indexed="81"/>
            <rFont val="Segoe UI"/>
            <family val="2"/>
          </rPr>
          <t>cliccare e scegliere: 1 o 0
anklicken und auswählen: 1 oder 0</t>
        </r>
        <r>
          <rPr>
            <sz val="9"/>
            <color indexed="81"/>
            <rFont val="Segoe UI"/>
            <family val="2"/>
          </rPr>
          <t xml:space="preserve">
</t>
        </r>
      </text>
    </comment>
    <comment ref="B35" authorId="1" shapeId="0" xr:uid="{B750D5C4-08D8-49F1-9743-3FBEE2F1B88C}">
      <text>
        <r>
          <rPr>
            <b/>
            <sz val="9"/>
            <color indexed="81"/>
            <rFont val="Segoe UI"/>
            <family val="2"/>
          </rPr>
          <t>cliccare e scegliere: 1 o 0
anklicken und auswählen: 1 oder 0</t>
        </r>
        <r>
          <rPr>
            <sz val="9"/>
            <color indexed="81"/>
            <rFont val="Segoe UI"/>
            <family val="2"/>
          </rPr>
          <t xml:space="preserve">
</t>
        </r>
      </text>
    </comment>
    <comment ref="B38" authorId="1" shapeId="0" xr:uid="{1710C371-DE82-42DB-9D81-0DB0F446F8F9}">
      <text>
        <r>
          <rPr>
            <b/>
            <sz val="9"/>
            <color indexed="81"/>
            <rFont val="Segoe UI"/>
            <family val="2"/>
          </rPr>
          <t>cliccare e scegliere: 1 o 0
anklicken und auswählen: 1 oder 0</t>
        </r>
        <r>
          <rPr>
            <sz val="9"/>
            <color indexed="81"/>
            <rFont val="Segoe UI"/>
            <family val="2"/>
          </rPr>
          <t xml:space="preserve">
</t>
        </r>
      </text>
    </comment>
    <comment ref="B39" authorId="1" shapeId="0" xr:uid="{037ECD86-BB60-4136-9AFF-F817825EF7A0}">
      <text>
        <r>
          <rPr>
            <b/>
            <sz val="9"/>
            <color indexed="81"/>
            <rFont val="Segoe UI"/>
            <family val="2"/>
          </rPr>
          <t>cliccare e scegliere: 1 o 0
anklicken und auswählen: 1 oder 0</t>
        </r>
        <r>
          <rPr>
            <sz val="9"/>
            <color indexed="81"/>
            <rFont val="Segoe UI"/>
            <family val="2"/>
          </rPr>
          <t xml:space="preserve">
</t>
        </r>
      </text>
    </comment>
    <comment ref="B42" authorId="1" shapeId="0" xr:uid="{F8F958B3-870E-401D-853B-606D04997CBD}">
      <text>
        <r>
          <rPr>
            <b/>
            <sz val="9"/>
            <color indexed="81"/>
            <rFont val="Segoe UI"/>
            <family val="2"/>
          </rPr>
          <t>cliccare e scegliere: 1 o 0
anklicken und auswählen: 1 oder 0</t>
        </r>
        <r>
          <rPr>
            <sz val="9"/>
            <color indexed="81"/>
            <rFont val="Segoe UI"/>
            <family val="2"/>
          </rPr>
          <t xml:space="preserve">
</t>
        </r>
      </text>
    </comment>
    <comment ref="B43" authorId="1" shapeId="0" xr:uid="{3C0C5787-1273-495D-93BC-ED217CD9D10C}">
      <text>
        <r>
          <rPr>
            <b/>
            <sz val="9"/>
            <color indexed="81"/>
            <rFont val="Segoe UI"/>
            <family val="2"/>
          </rPr>
          <t>cliccare e scegliere: 1 o 0
anklicken und auswählen: 1 oder 0</t>
        </r>
        <r>
          <rPr>
            <sz val="9"/>
            <color indexed="81"/>
            <rFont val="Segoe UI"/>
            <family val="2"/>
          </rPr>
          <t xml:space="preserve">
</t>
        </r>
      </text>
    </comment>
    <comment ref="B46" authorId="1" shapeId="0" xr:uid="{08B37CCD-54CC-441E-B886-E5F76E60B9CD}">
      <text>
        <r>
          <rPr>
            <b/>
            <sz val="9"/>
            <color indexed="81"/>
            <rFont val="Segoe UI"/>
            <family val="2"/>
          </rPr>
          <t>cliccare e scegliere: 1 o 0
anklicken und auswählen: 1 oder 0</t>
        </r>
        <r>
          <rPr>
            <sz val="9"/>
            <color indexed="81"/>
            <rFont val="Segoe UI"/>
            <family val="2"/>
          </rPr>
          <t xml:space="preserve">
</t>
        </r>
      </text>
    </comment>
    <comment ref="B47" authorId="1" shapeId="0" xr:uid="{4D9AC599-EA75-451C-9C38-A5D2D9DAFE3C}">
      <text>
        <r>
          <rPr>
            <b/>
            <sz val="9"/>
            <color indexed="81"/>
            <rFont val="Segoe UI"/>
            <family val="2"/>
          </rPr>
          <t>cliccare e scegliere: 1 o 0
anklicken und auswählen: 1 oder 0</t>
        </r>
        <r>
          <rPr>
            <sz val="9"/>
            <color indexed="81"/>
            <rFont val="Segoe UI"/>
            <family val="2"/>
          </rPr>
          <t xml:space="preserve">
</t>
        </r>
      </text>
    </comment>
    <comment ref="E51" authorId="2" shapeId="0" xr:uid="{29E3DE3C-9228-4D04-8B2C-C2F7E29B2ACD}">
      <text>
        <r>
          <rPr>
            <b/>
            <sz val="8"/>
            <color indexed="81"/>
            <rFont val="Tahoma"/>
            <family val="2"/>
          </rPr>
          <t xml:space="preserve">Nel caso in cui si vogliano calcolare importi diversi dai lavori edili, inserire qui  i dati , altrimenti lasciare vuota la casella.
Hier Wert eingeben falls man einen anderen Wert als die Bauarbeiten berechnen möchte, ansonsten leer lassen.
</t>
        </r>
      </text>
    </comment>
    <comment ref="B54" authorId="1" shapeId="0" xr:uid="{597B3A15-FBF7-42AA-BD1C-7A14C5A1D6CE}">
      <text>
        <r>
          <rPr>
            <b/>
            <sz val="9"/>
            <color indexed="81"/>
            <rFont val="Segoe UI"/>
            <family val="2"/>
          </rPr>
          <t>cliccare e scegliere: 1 o 0
anklicken und auswählen: 1 oder 0</t>
        </r>
        <r>
          <rPr>
            <sz val="9"/>
            <color indexed="81"/>
            <rFont val="Segoe UI"/>
            <family val="2"/>
          </rPr>
          <t xml:space="preserve">
</t>
        </r>
      </text>
    </comment>
    <comment ref="E57" authorId="2" shapeId="0" xr:uid="{00000000-0006-0000-0000-000005000000}">
      <text>
        <r>
          <rPr>
            <b/>
            <sz val="8"/>
            <color indexed="81"/>
            <rFont val="Tahoma"/>
            <family val="2"/>
          </rPr>
          <t xml:space="preserve">Nel caso in cui si vogliano calcolare importi diversi dai lavori edili, inserire qui  i dati , altrimenti lasciare vuota la casella.
Hier Wert eingeben falls man einen anderen Wert als die Bauarbeiten berechnen möchte, ansonsten leer lassen.
</t>
        </r>
      </text>
    </comment>
    <comment ref="B60" authorId="1" shapeId="0" xr:uid="{91B63F1F-24DB-4B08-B858-2DD22AC7A8D0}">
      <text>
        <r>
          <rPr>
            <b/>
            <sz val="9"/>
            <color indexed="81"/>
            <rFont val="Segoe UI"/>
            <family val="2"/>
          </rPr>
          <t>cliccare e scegliere: 1 o 0
anklicken und auswählen: 1 oder 0</t>
        </r>
        <r>
          <rPr>
            <sz val="9"/>
            <color indexed="81"/>
            <rFont val="Segoe UI"/>
            <family val="2"/>
          </rPr>
          <t xml:space="preserve">
</t>
        </r>
      </text>
    </comment>
    <comment ref="D60" authorId="1" shapeId="0" xr:uid="{309A7160-F0E9-41F5-93E7-237AAEA93FF2}">
      <text>
        <r>
          <rPr>
            <b/>
            <sz val="9"/>
            <color indexed="81"/>
            <rFont val="Segoe UI"/>
            <family val="2"/>
          </rPr>
          <t xml:space="preserve">cliccare e scegliere: 
anklicken und auswählen: </t>
        </r>
      </text>
    </comment>
  </commentList>
</comments>
</file>

<file path=xl/sharedStrings.xml><?xml version="1.0" encoding="utf-8"?>
<sst xmlns="http://schemas.openxmlformats.org/spreadsheetml/2006/main" count="223" uniqueCount="189">
  <si>
    <t>Categoria</t>
  </si>
  <si>
    <t>I</t>
  </si>
  <si>
    <t>Kategorie</t>
  </si>
  <si>
    <t>Bauvorhaben</t>
  </si>
  <si>
    <t>Progetto di costruzione</t>
  </si>
  <si>
    <t>Betrag der Bauarbeiten</t>
  </si>
  <si>
    <t>Importo dei lavori di costruzione</t>
  </si>
  <si>
    <t>Data - Datum:</t>
  </si>
  <si>
    <t>%</t>
  </si>
  <si>
    <t>x</t>
  </si>
  <si>
    <t>=</t>
  </si>
  <si>
    <t>1.)</t>
  </si>
  <si>
    <t>2.)</t>
  </si>
  <si>
    <t>Prestazioni parziali</t>
  </si>
  <si>
    <t>Descrizione</t>
  </si>
  <si>
    <t>Beschreibung</t>
  </si>
  <si>
    <t>1a</t>
  </si>
  <si>
    <t>Somma</t>
  </si>
  <si>
    <t>Summe</t>
  </si>
  <si>
    <t>Abrechnung</t>
  </si>
  <si>
    <t>Spese</t>
  </si>
  <si>
    <t>Spesen</t>
  </si>
  <si>
    <t>errechneter Spesensatz</t>
  </si>
  <si>
    <t/>
  </si>
  <si>
    <t>Descrizioni</t>
  </si>
  <si>
    <t>Beschreibungen</t>
  </si>
  <si>
    <t>1b</t>
  </si>
  <si>
    <t>1c</t>
  </si>
  <si>
    <t>1d</t>
  </si>
  <si>
    <t>1e</t>
  </si>
  <si>
    <t>g</t>
  </si>
  <si>
    <t>b</t>
  </si>
  <si>
    <t>a</t>
  </si>
  <si>
    <t>f</t>
  </si>
  <si>
    <t>e</t>
  </si>
  <si>
    <t>GRUNDTEILLEISTUNGEN BETREFFEND DIE PROJEKTIERUNG UND BAULEITUNG</t>
  </si>
  <si>
    <t>ALIQUOTE BASE RELATIVE ALLA PROGETTAZIONE E DIREZIONE LAVORI</t>
  </si>
  <si>
    <t>TABELLA B - TABELLE B</t>
  </si>
  <si>
    <t>e oltre / und darüber</t>
  </si>
  <si>
    <t>% der Spesenvergütung</t>
  </si>
  <si>
    <t>bis Euro</t>
  </si>
  <si>
    <t>Betrag der Arbeiten von Euro</t>
  </si>
  <si>
    <t>% di rimborso spese</t>
  </si>
  <si>
    <t>a Euro</t>
  </si>
  <si>
    <t>importo dei lavori da Euro</t>
  </si>
  <si>
    <t>RIMBORSO SPESE - SPESENVERGÜTUNG</t>
  </si>
  <si>
    <t>TABELLA S - TABELLE S</t>
  </si>
  <si>
    <t>Diese Tabelle ist eine nicht bindende Unterstützung für die Berechnung eines Honorars und erhebt keinen formalen oder rechtlichen Anspruch.</t>
  </si>
  <si>
    <t>Vorprojekt</t>
  </si>
  <si>
    <t>Bauleitung</t>
  </si>
  <si>
    <t>a-b-c-d</t>
  </si>
  <si>
    <t xml:space="preserve"> Teilleistungen</t>
  </si>
  <si>
    <t>Ia</t>
  </si>
  <si>
    <t>Ib</t>
  </si>
  <si>
    <t>Ic</t>
  </si>
  <si>
    <t>Id</t>
  </si>
  <si>
    <t>Ie</t>
  </si>
  <si>
    <t>(Euro)</t>
  </si>
  <si>
    <t xml:space="preserve">    </t>
  </si>
  <si>
    <t>TABELLA A - TABELLE A</t>
  </si>
  <si>
    <t>c</t>
  </si>
  <si>
    <t>d</t>
  </si>
  <si>
    <t>Fehlermeldung</t>
  </si>
  <si>
    <t>Suchliste</t>
  </si>
  <si>
    <t>Error</t>
  </si>
  <si>
    <t>gesamt</t>
  </si>
  <si>
    <t>E</t>
  </si>
  <si>
    <t>F</t>
  </si>
  <si>
    <t>G</t>
  </si>
  <si>
    <t>H</t>
  </si>
  <si>
    <t>x=</t>
  </si>
  <si>
    <t xml:space="preserve">aliquota/Faktor </t>
  </si>
  <si>
    <t>Somma contabilità</t>
  </si>
  <si>
    <t>Summe Abrechnung</t>
  </si>
  <si>
    <t>Legende:</t>
  </si>
  <si>
    <t>Legenda:</t>
  </si>
  <si>
    <t>Ausführungsplanung</t>
  </si>
  <si>
    <t>3.)</t>
  </si>
  <si>
    <t>Progetto preliminare</t>
  </si>
  <si>
    <t>4.)</t>
  </si>
  <si>
    <t>Optionen auswählen</t>
  </si>
  <si>
    <t>Werte eingeben</t>
  </si>
  <si>
    <t>Progettazione esecutiva</t>
  </si>
  <si>
    <t>Direzione lavori</t>
  </si>
  <si>
    <t>scegliere le opzioni</t>
  </si>
  <si>
    <t>inserire valori</t>
  </si>
  <si>
    <t>fattore delle spese calcolate</t>
  </si>
  <si>
    <t>Nome del progetto - Projekttitel</t>
  </si>
  <si>
    <t>€    x</t>
  </si>
  <si>
    <t>€       x</t>
  </si>
  <si>
    <t>Dr. Arch.
Max Mustermann
Via Portici 1
39100 Bolzano</t>
  </si>
  <si>
    <t>Questa tabella è un supporto puramente indicativo per il calcolo dell'onorario; non vuole e non può avere alcun valore formale o legale.</t>
  </si>
  <si>
    <t>Grundlagenerhebung</t>
  </si>
  <si>
    <t>a)  Grundlagenerhebung</t>
  </si>
  <si>
    <t>b)  Vorprojekt</t>
  </si>
  <si>
    <t>d) Einreichprojekt</t>
  </si>
  <si>
    <t>g) Werkverträge</t>
  </si>
  <si>
    <t>e) Kostenschätzung</t>
  </si>
  <si>
    <t>c) Überschlägige Kostenschätzung</t>
  </si>
  <si>
    <t>Capitolato</t>
  </si>
  <si>
    <t>Leistungsverzeichnis</t>
  </si>
  <si>
    <t>Summe LV</t>
  </si>
  <si>
    <t>Somma capitolato</t>
  </si>
  <si>
    <t>b) Progetto preliminare</t>
  </si>
  <si>
    <t>c) Stima sommaria dei costi</t>
  </si>
  <si>
    <t>d) Progetto definitivo</t>
  </si>
  <si>
    <t>e) Stima dei costi</t>
  </si>
  <si>
    <t>f) Ausführungsprojekt und Detailplanung</t>
  </si>
  <si>
    <t>f) Progetto esecutivo e particolari</t>
  </si>
  <si>
    <t>h) Direzione lavori</t>
  </si>
  <si>
    <t>i) Bezugsfertigkeit</t>
  </si>
  <si>
    <t>i) Agibilità</t>
  </si>
  <si>
    <t>b) Progetto preliminare / 
Vorprojekt</t>
  </si>
  <si>
    <t>c) Stima sommaria dei costi / 
überschlägige Kostenschätzung</t>
  </si>
  <si>
    <t>d) Progetto definitivo /
Einreichprojekt</t>
  </si>
  <si>
    <t>h) Direzione lavori / 
Bauleitung</t>
  </si>
  <si>
    <t>e) Stima dei costi / 
Kostenschätzung</t>
  </si>
  <si>
    <t>f) Progetto esecutivo e particolari / 
Ausführungsprojekt und Detailplanung</t>
  </si>
  <si>
    <t>Importo di riferimento (1+2+3)</t>
  </si>
  <si>
    <t>Bezugsbetrag (1+2+3)</t>
  </si>
  <si>
    <t>Teilleistungen Planung Bauleitung</t>
  </si>
  <si>
    <t>Prestazioni parziali progettazione e DL</t>
  </si>
  <si>
    <t xml:space="preserve">h) Bauleitung </t>
  </si>
  <si>
    <t>Planung Bauleitung</t>
  </si>
  <si>
    <t>Ausschreibung</t>
  </si>
  <si>
    <t>%      x</t>
  </si>
  <si>
    <t>Errechneter Betrag</t>
  </si>
  <si>
    <t>DEFINIZIONE DELLE CATEGORIE PER LE TIPOLOGIE DI EDIFICI</t>
  </si>
  <si>
    <t>*)</t>
  </si>
  <si>
    <t>Für Gebäudetypologien, die in der Tabelle oben nicht angeführt sind kann die Software 143BZ verwendet werden. Bei Bauaufgaben mit sehr geringen Baukosten wird empfohlen eine Honorarberechnung mittels einer Aufwandsschätzung zu erstellen.</t>
  </si>
  <si>
    <t>% interpolata - interpolierter % Satz TAB A</t>
  </si>
  <si>
    <t>importo calcolato</t>
  </si>
  <si>
    <t>Beträge inkl. Spesen</t>
  </si>
  <si>
    <t>DEFINITION DER KATEGORIEN DER BAUAUFGABE</t>
  </si>
  <si>
    <t>Ausgabe 02 April 2023</t>
  </si>
  <si>
    <t>Versione 02 aprile 2023</t>
  </si>
  <si>
    <t>Capitolato / Leistungsverzeichnis</t>
  </si>
  <si>
    <t>Erstellen Leistungsverzeichnisse</t>
  </si>
  <si>
    <t xml:space="preserve">%     </t>
  </si>
  <si>
    <t>Zeile</t>
  </si>
  <si>
    <t>D</t>
  </si>
  <si>
    <t>Contabilita</t>
  </si>
  <si>
    <t>importi compr. spese</t>
  </si>
  <si>
    <t>Die Prozentsätze beziehen sich auf den Gesamtbetrag der Arbeiten und werden auf die Leistungen angewendet</t>
  </si>
  <si>
    <t>Le percentuali si riferiscono all'importo complessivo dei lavori e si applicano alle prestazioni</t>
  </si>
  <si>
    <t>Honorarberechnung für architektonische Leistungen im privaten Hochbau</t>
  </si>
  <si>
    <t>Calcolo dell'onorario per prestazioni architettoniche nell'edilizia privata</t>
  </si>
  <si>
    <t>Auftraggeber/in</t>
  </si>
  <si>
    <t>Nome committenza - Name Auftraggeber/in</t>
  </si>
  <si>
    <t>Committenza</t>
  </si>
  <si>
    <t>PROZENTSÄTZE GESTAFFELT NACH BETRÄGE DER BAUARBEITEN UND KATEGORIEN</t>
  </si>
  <si>
    <t>Einreichplanung</t>
  </si>
  <si>
    <t>Progettazione definitiva</t>
  </si>
  <si>
    <t>PERCENTUALI PER SCAGLIONI DI IMPORTO DEI LAVORI PER CATEGORIE</t>
  </si>
  <si>
    <t xml:space="preserve">Einfamilienhäuser, Mehrfamilienhäuser, Reihenhäuser, landwirtschaftliche Wohngebäude, Industriegebäude und gewerbliche Bauten sowie die unter Buchstabe 1b) genannten Gebäude, wenn sie höhere Anforderungen haben, Gebäude der Klimahaus Kategorie A, B, C,  Sanierungen und bauliche Umgestaltungen aller in dieser Kategorie genannten Gebäude
</t>
  </si>
  <si>
    <t>anspruchsvolle Villen, Hotels, Theater, Kinos, Kirchen, Banken, provisorische Gebäude für Gestaltungszwecke, Gärten, Passivhäuser, Gebäude der Klimahaus Kategorie Nature und Gold, sowie alle unter Punkt 1c) genannten Gebäude, wenn sie besonders hohe Anforderungen haben,  künstlerische Restaurierungen und Gebäude unter Denkmalschutz,  Sanierungen und bauliche Umgestaltungen aller in dieser Kategorie genannten Gebäude</t>
  </si>
  <si>
    <t xml:space="preserve">Bauten einfacher Gestaltung, Gebäude ohne besondere Wärmedämmanforderungen, einfache landwirtschaftliche Gebäude und einfache Industriehallen ohne besondere technische Anforderungen, Lager, Werkhallen, provisorische Gebäude ohne Bedeutung </t>
  </si>
  <si>
    <t>Industriehallen von durchschnittlicher konstruktiver Bedeutung, landwirtschaftliche Wirtschaftsgebäude</t>
  </si>
  <si>
    <t>Außen- oder Innengestaltung und Einrichtung von Gebäuden und Räumlichkeiten. Entwurf, Planung und Bauleitung von Möbeln. (Nur für Projekte ohne Baurechtstitel)</t>
  </si>
  <si>
    <t>Importo dei lavori di costruzioni
Betrag der Bauarbeiten</t>
  </si>
  <si>
    <t>CATEGORIE DELLE TIPOLOGIE DI EDIFICI
KATEGORIEN DER BAUAUFGABE</t>
  </si>
  <si>
    <t>categorie</t>
  </si>
  <si>
    <t>Kategorien</t>
  </si>
  <si>
    <t>BESCHREIBUNG</t>
  </si>
  <si>
    <t>DESCRIZIONE</t>
  </si>
  <si>
    <t>Categoria - Kategorie</t>
  </si>
  <si>
    <t>% interpolata - interpolierter % Satz    Tab A</t>
  </si>
  <si>
    <t>Für die korrekte Verwendung dieser Berechnungstabelle wird empfohlen den dazughörigen Leitfaden zu konsultieren.</t>
  </si>
  <si>
    <t>Per l'uso corretto di questa tabella di calcolo, si raccomanda di consultare le relative linee guida.</t>
  </si>
  <si>
    <t>Costruzioni informate a grande semplicità, edifici senza particolari esigenze di coibentazione, semplici fabbricati rurali e semplici fabbricati industriali senza particolari esigenze tecniche, magazzini, capannoni, edifici provvisori senza importanza e simili.</t>
  </si>
  <si>
    <t>Edifici industriali di importanza costruttiva corrente, edifici rurali.</t>
  </si>
  <si>
    <t>Edifici di abitazione mono- e multi-familiare, case a schiera, case rurali, edifici industriali e fabbricati commerciali, nonché gli edifici di cui alla lettera 1b) quando presentino esigenze elevate, edifici di categoria CasaClima A, B, C, risanamenti e ristrutturazioni edilizie di tutti gli edifici alla presente categoria.</t>
  </si>
  <si>
    <t>Decorazione esterna o interna ed arredamento di edifici e di ambienti. Ideazione, progetto e direzione lavori di mobili. (Solo per progetti privi di titolo edilizio)</t>
  </si>
  <si>
    <t>Ville signorili, alberghi, teatri, cinema, chiese, banche, edifici provvisori di carattere decorativo, parchi, case passive, edifici di categoria CasaClima Nature o Gold, nonché gli edifici di cui alla lettera 1c) quando presentino esigenze particolarmente elevate, restauri artistici ed edifici tutelati, risanamenti e ristrutturazioni edilizie di tutti gli edifici alla presente categoria.</t>
  </si>
  <si>
    <t>a) Attività propedeutica</t>
  </si>
  <si>
    <t>Attività propedeutica</t>
  </si>
  <si>
    <t>g) Contratti d'opera</t>
  </si>
  <si>
    <t>i) Agibilità / 
Bezugsfertigkeit</t>
  </si>
  <si>
    <t>g) Contratti  d'opera/ 
Werkverträge</t>
  </si>
  <si>
    <t>Contabilità</t>
  </si>
  <si>
    <t>Controllo contabilità / Kontrolle Abrechnung</t>
  </si>
  <si>
    <t>Stesura contabilità / Erstellen Abrechnung</t>
  </si>
  <si>
    <t>a)  Attività propedeutica / 
Grundlagenerhebung</t>
  </si>
  <si>
    <t>Stesura Capitolati</t>
  </si>
  <si>
    <t>Per tipologie edilizie non rientranti in questa tabella, si consiglia l'utilizzo del software 143 BZ. Per incarichi con costi di costruzioni molto bassi si consiglia un onorario a vacazione calcolato in base alla stima dell’impegno necessario.</t>
  </si>
  <si>
    <r>
      <t xml:space="preserve">Importo complessivo onorario
</t>
    </r>
    <r>
      <rPr>
        <sz val="8"/>
        <rFont val="Arial"/>
        <family val="2"/>
      </rPr>
      <t>oltre oneri previdenziali e IVA ove dovuta</t>
    </r>
  </si>
  <si>
    <r>
      <t xml:space="preserve">Gesamtbetrag Honorar
</t>
    </r>
    <r>
      <rPr>
        <sz val="8"/>
        <rFont val="Arial"/>
        <family val="2"/>
      </rPr>
      <t xml:space="preserve">zuzüglich Fürsorgebeitrag und ev. Mwst. </t>
    </r>
  </si>
  <si>
    <t>Auswählen"1"= JA; "0"=NEIN</t>
  </si>
  <si>
    <t>scegliere "1"= SI; "0"=NO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</si>
</sst>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 #,##0.00\ &quot;€&quot;_-;\-* #,##0.00\ &quot;€&quot;_-;_-* &quot;-&quot;??\ &quot;€&quot;_-;_-@_-"/>
    <numFmt numFmtId="164" formatCode="&quot;€&quot;\ #,##0.00;\-&quot;€&quot;\ #,##0.00"/>
    <numFmt numFmtId="165" formatCode="&quot;€&quot;\ #,##0.00"/>
    <numFmt numFmtId="166" formatCode="_-* #,##0\ _D_M_-;\-* #,##0\ _D_M_-;_-* &quot;-&quot;\ _D_M_-;_-@_-"/>
    <numFmt numFmtId="167" formatCode="_-* #,##0.00_-;\-* #,##0.00_-;_-* &quot;-&quot;_-;_-@_-"/>
    <numFmt numFmtId="168" formatCode="0.00000%"/>
    <numFmt numFmtId="169" formatCode="_-[$€-2]\ * #,##0.00_-;\-[$€-2]\ * #,##0.00_-;_-[$€-2]\ * &quot;-&quot;??_-"/>
    <numFmt numFmtId="170" formatCode="0.0%"/>
    <numFmt numFmtId="171" formatCode="#,##0.00\ &quot;€&quot;"/>
    <numFmt numFmtId="172" formatCode="#,##0.0000"/>
    <numFmt numFmtId="173" formatCode="0.0000"/>
    <numFmt numFmtId="174" formatCode="#,##0.0"/>
    <numFmt numFmtId="175" formatCode="_-* #,##0.00\ _€_-;\-* #,##0.00\ _€_-;_-* &quot;-&quot;??\ _€_-;_-@_-"/>
  </numFmts>
  <fonts count="45" x14ac:knownFonts="1">
    <font>
      <sz val="10"/>
      <name val="Arial"/>
    </font>
    <font>
      <sz val="10"/>
      <name val="Arial"/>
      <family val="2"/>
    </font>
    <font>
      <sz val="8"/>
      <name val="Arial"/>
      <family val="2"/>
    </font>
    <font>
      <i/>
      <sz val="8"/>
      <name val="Arial"/>
      <family val="2"/>
    </font>
    <font>
      <sz val="8"/>
      <name val="Arial"/>
      <family val="2"/>
    </font>
    <font>
      <b/>
      <sz val="10"/>
      <name val="Arial"/>
      <family val="2"/>
    </font>
    <font>
      <b/>
      <sz val="20"/>
      <name val="Arial"/>
      <family val="2"/>
    </font>
    <font>
      <b/>
      <sz val="10"/>
      <name val="Arial"/>
      <family val="2"/>
    </font>
    <font>
      <sz val="10"/>
      <name val="Arial"/>
      <family val="2"/>
    </font>
    <font>
      <b/>
      <i/>
      <sz val="10"/>
      <name val="Arial"/>
      <family val="2"/>
    </font>
    <font>
      <sz val="7"/>
      <name val="Arial"/>
      <family val="2"/>
    </font>
    <font>
      <b/>
      <sz val="8"/>
      <name val="Arial"/>
      <family val="2"/>
    </font>
    <font>
      <i/>
      <sz val="6"/>
      <name val="Arial"/>
      <family val="2"/>
    </font>
    <font>
      <b/>
      <sz val="7"/>
      <name val="Arial"/>
      <family val="2"/>
    </font>
    <font>
      <sz val="7.5"/>
      <name val="Arial"/>
      <family val="2"/>
    </font>
    <font>
      <b/>
      <sz val="18"/>
      <name val="Arial"/>
      <family val="2"/>
    </font>
    <font>
      <sz val="9"/>
      <name val="Times New Roman"/>
      <family val="1"/>
    </font>
    <font>
      <i/>
      <sz val="8"/>
      <name val="Times New Roman"/>
      <family val="1"/>
    </font>
    <font>
      <i/>
      <sz val="9"/>
      <name val="Times New Roman"/>
      <family val="1"/>
    </font>
    <font>
      <b/>
      <sz val="9"/>
      <name val="Times New Roman"/>
      <family val="1"/>
    </font>
    <font>
      <i/>
      <sz val="11"/>
      <name val="Times New Roman"/>
      <family val="1"/>
    </font>
    <font>
      <b/>
      <sz val="12"/>
      <name val="Tahoma"/>
      <family val="2"/>
    </font>
    <font>
      <sz val="10"/>
      <color theme="0"/>
      <name val="Arial"/>
      <family val="2"/>
    </font>
    <font>
      <i/>
      <sz val="10"/>
      <color theme="0"/>
      <name val="Arial"/>
      <family val="2"/>
    </font>
    <font>
      <sz val="8"/>
      <color theme="0"/>
      <name val="Arial"/>
      <family val="2"/>
    </font>
    <font>
      <i/>
      <sz val="8"/>
      <color theme="0"/>
      <name val="Arial"/>
      <family val="2"/>
    </font>
    <font>
      <b/>
      <sz val="10"/>
      <color theme="0"/>
      <name val="Arial"/>
      <family val="2"/>
    </font>
    <font>
      <sz val="9"/>
      <color indexed="81"/>
      <name val="Tahoma"/>
      <family val="2"/>
    </font>
    <font>
      <b/>
      <sz val="9"/>
      <color indexed="81"/>
      <name val="Tahoma"/>
      <family val="2"/>
    </font>
    <font>
      <sz val="9"/>
      <color theme="0"/>
      <name val="Arial"/>
      <family val="2"/>
    </font>
    <font>
      <b/>
      <sz val="9"/>
      <name val="Arial"/>
      <family val="2"/>
    </font>
    <font>
      <sz val="9"/>
      <name val="Arial"/>
      <family val="2"/>
    </font>
    <font>
      <sz val="10"/>
      <name val="Arial"/>
      <family val="2"/>
    </font>
    <font>
      <b/>
      <sz val="9"/>
      <color theme="0"/>
      <name val="Arial"/>
      <family val="2"/>
    </font>
    <font>
      <b/>
      <sz val="8"/>
      <color indexed="81"/>
      <name val="Tahoma"/>
      <family val="2"/>
    </font>
    <font>
      <sz val="10"/>
      <color rgb="FFCC3300"/>
      <name val="Arial"/>
      <family val="2"/>
    </font>
    <font>
      <sz val="8"/>
      <color rgb="FFFF0000"/>
      <name val="Arial"/>
      <family val="2"/>
    </font>
    <font>
      <sz val="22"/>
      <name val="Arial"/>
      <family val="2"/>
    </font>
    <font>
      <b/>
      <sz val="9"/>
      <color indexed="81"/>
      <name val="Segoe UI"/>
      <family val="2"/>
    </font>
    <font>
      <sz val="9"/>
      <color theme="0"/>
      <name val="Times New Roman"/>
      <family val="1"/>
    </font>
    <font>
      <sz val="10"/>
      <color rgb="FF000000"/>
      <name val="Arial"/>
      <family val="2"/>
    </font>
    <font>
      <i/>
      <sz val="9"/>
      <name val="Arial"/>
      <family val="2"/>
    </font>
    <font>
      <sz val="12"/>
      <name val="Arial"/>
      <family val="2"/>
    </font>
    <font>
      <sz val="10"/>
      <name val="Arial"/>
      <family val="2"/>
    </font>
    <font>
      <sz val="9"/>
      <color indexed="81"/>
      <name val="Segoe UI"/>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CC33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6600"/>
        <bgColor indexed="64"/>
      </patternFill>
    </fill>
  </fills>
  <borders count="6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tted">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right/>
      <top style="dotted">
        <color indexed="64"/>
      </top>
      <bottom/>
      <diagonal/>
    </border>
    <border>
      <left style="thin">
        <color indexed="64"/>
      </left>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14">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9" fontId="1" fillId="0" borderId="0" applyFont="0" applyFill="0" applyBorder="0" applyAlignment="0" applyProtection="0"/>
    <xf numFmtId="44" fontId="32" fillId="0" borderId="0" applyFont="0" applyFill="0" applyBorder="0" applyAlignment="0" applyProtection="0"/>
    <xf numFmtId="175" fontId="43" fillId="0" borderId="0" applyFont="0" applyFill="0" applyBorder="0" applyAlignment="0" applyProtection="0"/>
    <xf numFmtId="41" fontId="43" fillId="0" borderId="0" applyFont="0" applyFill="0" applyBorder="0" applyAlignment="0" applyProtection="0"/>
    <xf numFmtId="166" fontId="43" fillId="0" borderId="0" applyFont="0" applyFill="0" applyBorder="0" applyAlignment="0" applyProtection="0"/>
    <xf numFmtId="169" fontId="43" fillId="0" borderId="0" applyFont="0" applyFill="0" applyBorder="0" applyAlignment="0" applyProtection="0"/>
    <xf numFmtId="9" fontId="43" fillId="0" borderId="0" applyFont="0" applyFill="0" applyBorder="0" applyAlignment="0" applyProtection="0"/>
    <xf numFmtId="0" fontId="43" fillId="0" borderId="0"/>
    <xf numFmtId="44" fontId="43" fillId="0" borderId="0" applyFont="0" applyFill="0" applyBorder="0" applyAlignment="0" applyProtection="0"/>
  </cellStyleXfs>
  <cellXfs count="448">
    <xf numFmtId="0" fontId="0" fillId="0" borderId="0" xfId="0"/>
    <xf numFmtId="0" fontId="2" fillId="0" borderId="1" xfId="0" applyFont="1" applyBorder="1" applyAlignment="1">
      <alignment horizontal="center" wrapText="1"/>
    </xf>
    <xf numFmtId="0" fontId="1" fillId="0" borderId="0" xfId="0" applyFont="1"/>
    <xf numFmtId="0" fontId="8" fillId="0" borderId="0" xfId="0" applyFont="1"/>
    <xf numFmtId="0" fontId="2" fillId="2" borderId="3" xfId="0" applyFont="1" applyFill="1" applyBorder="1" applyAlignment="1">
      <alignment horizontal="center" vertical="center" wrapText="1"/>
    </xf>
    <xf numFmtId="0" fontId="2" fillId="0" borderId="0" xfId="0" applyFont="1"/>
    <xf numFmtId="0" fontId="10" fillId="0" borderId="0" xfId="0" applyFont="1" applyProtection="1">
      <protection hidden="1"/>
    </xf>
    <xf numFmtId="0" fontId="11" fillId="0" borderId="0" xfId="0" applyFont="1"/>
    <xf numFmtId="0" fontId="10" fillId="0" borderId="0" xfId="0" applyFont="1"/>
    <xf numFmtId="0" fontId="0" fillId="0" borderId="12" xfId="0" applyBorder="1"/>
    <xf numFmtId="165" fontId="5" fillId="0" borderId="12" xfId="0" applyNumberFormat="1" applyFont="1" applyBorder="1" applyAlignment="1">
      <alignment horizontal="center" vertical="center"/>
    </xf>
    <xf numFmtId="0" fontId="2" fillId="0" borderId="12" xfId="0" applyFont="1" applyBorder="1"/>
    <xf numFmtId="0" fontId="2" fillId="0" borderId="12" xfId="0" applyFont="1" applyBorder="1" applyAlignment="1">
      <alignment horizontal="right"/>
    </xf>
    <xf numFmtId="0" fontId="2" fillId="0" borderId="8" xfId="0" applyFont="1" applyBorder="1"/>
    <xf numFmtId="0" fontId="0" fillId="0" borderId="10" xfId="0" applyBorder="1"/>
    <xf numFmtId="0" fontId="5" fillId="0" borderId="10" xfId="0" applyFont="1" applyBorder="1"/>
    <xf numFmtId="0" fontId="2" fillId="0" borderId="10" xfId="0" applyFont="1" applyBorder="1"/>
    <xf numFmtId="0" fontId="0" fillId="0" borderId="8" xfId="0" applyBorder="1"/>
    <xf numFmtId="0" fontId="0" fillId="0" borderId="2" xfId="0" applyBorder="1"/>
    <xf numFmtId="0" fontId="2" fillId="0" borderId="2" xfId="0" applyFont="1" applyBorder="1"/>
    <xf numFmtId="0" fontId="0" fillId="0" borderId="9" xfId="0" applyBorder="1"/>
    <xf numFmtId="0" fontId="5" fillId="0" borderId="8" xfId="0" applyFont="1" applyBorder="1"/>
    <xf numFmtId="0" fontId="8" fillId="0" borderId="0" xfId="0" applyFont="1" applyAlignment="1">
      <alignment horizontal="center"/>
    </xf>
    <xf numFmtId="9" fontId="0" fillId="0" borderId="0" xfId="0" applyNumberFormat="1" applyAlignment="1">
      <alignment horizontal="center"/>
    </xf>
    <xf numFmtId="0" fontId="11" fillId="0" borderId="8" xfId="0" applyFont="1" applyBorder="1"/>
    <xf numFmtId="0" fontId="5" fillId="0" borderId="11" xfId="0" applyFont="1" applyBorder="1"/>
    <xf numFmtId="0" fontId="0" fillId="0" borderId="5" xfId="0" applyBorder="1"/>
    <xf numFmtId="165" fontId="5" fillId="0" borderId="5" xfId="0" applyNumberFormat="1" applyFont="1" applyBorder="1" applyAlignment="1">
      <alignment horizontal="center" vertical="center"/>
    </xf>
    <xf numFmtId="14" fontId="0" fillId="0" borderId="5" xfId="0" applyNumberFormat="1" applyBorder="1" applyAlignment="1">
      <alignment horizontal="center" vertical="top"/>
    </xf>
    <xf numFmtId="0" fontId="0" fillId="0" borderId="3" xfId="0" applyBorder="1" applyAlignment="1">
      <alignment horizontal="center" vertical="top"/>
    </xf>
    <xf numFmtId="0" fontId="0" fillId="0" borderId="0" xfId="0" applyAlignment="1">
      <alignment vertical="center"/>
    </xf>
    <xf numFmtId="0" fontId="8" fillId="0" borderId="0" xfId="0" applyFont="1" applyAlignment="1">
      <alignment vertical="center"/>
    </xf>
    <xf numFmtId="165" fontId="0" fillId="0" borderId="0" xfId="0" applyNumberFormat="1"/>
    <xf numFmtId="0" fontId="5" fillId="0" borderId="0" xfId="0" applyFont="1" applyAlignment="1">
      <alignment horizontal="left"/>
    </xf>
    <xf numFmtId="0" fontId="1" fillId="0" borderId="0" xfId="3"/>
    <xf numFmtId="41" fontId="2" fillId="0" borderId="0" xfId="1" applyFont="1"/>
    <xf numFmtId="167" fontId="2" fillId="0" borderId="0" xfId="1" applyNumberFormat="1" applyFont="1"/>
    <xf numFmtId="170" fontId="2" fillId="0" borderId="0" xfId="1" applyNumberFormat="1" applyFont="1" applyAlignment="1">
      <alignment horizontal="center"/>
    </xf>
    <xf numFmtId="41" fontId="2" fillId="0" borderId="0" xfId="1" applyFont="1" applyAlignment="1">
      <alignment horizontal="center" vertical="top" wrapText="1"/>
    </xf>
    <xf numFmtId="167" fontId="2" fillId="0" borderId="0" xfId="1" applyNumberFormat="1" applyFont="1" applyAlignment="1">
      <alignment horizontal="center" vertical="top" wrapText="1"/>
    </xf>
    <xf numFmtId="41" fontId="2" fillId="0" borderId="0" xfId="1" applyFont="1" applyAlignment="1">
      <alignment horizontal="center" vertical="center" wrapText="1"/>
    </xf>
    <xf numFmtId="41" fontId="2" fillId="0" borderId="0" xfId="1" applyFont="1" applyAlignment="1">
      <alignment horizontal="right" vertical="center" wrapText="1"/>
    </xf>
    <xf numFmtId="0" fontId="3" fillId="0" borderId="10" xfId="0" applyFont="1" applyBorder="1"/>
    <xf numFmtId="0" fontId="3" fillId="0" borderId="0" xfId="0" applyFont="1"/>
    <xf numFmtId="0" fontId="3" fillId="0" borderId="0" xfId="0" applyFont="1" applyAlignment="1">
      <alignment horizontal="right"/>
    </xf>
    <xf numFmtId="0" fontId="3" fillId="0" borderId="10" xfId="0" applyFont="1" applyBorder="1" applyAlignment="1">
      <alignment horizontal="right"/>
    </xf>
    <xf numFmtId="0" fontId="0" fillId="0" borderId="20" xfId="0" applyBorder="1"/>
    <xf numFmtId="0" fontId="0" fillId="0" borderId="19" xfId="0" applyBorder="1"/>
    <xf numFmtId="0" fontId="1" fillId="0" borderId="0" xfId="0" applyFont="1" applyAlignment="1">
      <alignment vertical="center"/>
    </xf>
    <xf numFmtId="0" fontId="14" fillId="0" borderId="0" xfId="0" applyFont="1"/>
    <xf numFmtId="0" fontId="16" fillId="0" borderId="21" xfId="0" applyFont="1" applyBorder="1" applyAlignment="1">
      <alignment horizontal="center" vertical="top" wrapText="1"/>
    </xf>
    <xf numFmtId="0" fontId="16" fillId="0" borderId="23" xfId="0" applyFont="1" applyBorder="1" applyAlignment="1">
      <alignment horizontal="center" vertical="top" wrapText="1"/>
    </xf>
    <xf numFmtId="0" fontId="17" fillId="0" borderId="23" xfId="0" applyFont="1" applyBorder="1" applyAlignment="1">
      <alignment horizontal="center" vertical="top" wrapText="1"/>
    </xf>
    <xf numFmtId="0" fontId="16" fillId="0" borderId="26" xfId="0" applyFont="1" applyBorder="1" applyAlignment="1">
      <alignment vertical="top" wrapText="1"/>
    </xf>
    <xf numFmtId="0" fontId="16" fillId="0" borderId="23" xfId="0" applyFont="1" applyBorder="1" applyAlignment="1">
      <alignment vertical="top" wrapText="1"/>
    </xf>
    <xf numFmtId="0" fontId="16" fillId="0" borderId="21" xfId="0" applyFont="1" applyBorder="1" applyAlignment="1">
      <alignment vertical="top" wrapText="1"/>
    </xf>
    <xf numFmtId="41" fontId="2" fillId="0" borderId="0" xfId="1" applyFont="1" applyAlignment="1">
      <alignment horizontal="right"/>
    </xf>
    <xf numFmtId="0" fontId="19" fillId="0" borderId="28" xfId="0" applyFont="1" applyBorder="1" applyAlignment="1">
      <alignment horizontal="center" vertical="top" wrapText="1"/>
    </xf>
    <xf numFmtId="0" fontId="19" fillId="0" borderId="25" xfId="0" applyFont="1" applyBorder="1" applyAlignment="1">
      <alignment horizontal="center" vertical="top" wrapText="1"/>
    </xf>
    <xf numFmtId="0" fontId="21" fillId="0" borderId="0" xfId="0" applyFont="1" applyAlignment="1">
      <alignment horizontal="justify"/>
    </xf>
    <xf numFmtId="2" fontId="0" fillId="0" borderId="0" xfId="0" applyNumberForma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1" fontId="0" fillId="0" borderId="0" xfId="0" applyNumberFormat="1"/>
    <xf numFmtId="0" fontId="0" fillId="3" borderId="0" xfId="0" applyFill="1"/>
    <xf numFmtId="165" fontId="0" fillId="0" borderId="0" xfId="0" applyNumberFormat="1" applyAlignment="1">
      <alignment horizontal="center"/>
    </xf>
    <xf numFmtId="0" fontId="5" fillId="0" borderId="0" xfId="0" applyFont="1" applyAlignment="1">
      <alignment horizontal="right"/>
    </xf>
    <xf numFmtId="165" fontId="5" fillId="0" borderId="0" xfId="0" applyNumberFormat="1" applyFont="1" applyAlignment="1">
      <alignment horizontal="left"/>
    </xf>
    <xf numFmtId="0" fontId="5" fillId="0" borderId="0" xfId="0" applyFont="1" applyAlignment="1">
      <alignment horizontal="center"/>
    </xf>
    <xf numFmtId="0" fontId="19" fillId="0" borderId="17" xfId="0" applyFont="1" applyBorder="1" applyAlignment="1">
      <alignment horizontal="center" vertical="top" wrapText="1"/>
    </xf>
    <xf numFmtId="0" fontId="6" fillId="0" borderId="0" xfId="0" applyFont="1" applyAlignment="1">
      <alignment horizontal="center"/>
    </xf>
    <xf numFmtId="0" fontId="16" fillId="0" borderId="25" xfId="0" applyFont="1" applyBorder="1" applyAlignment="1">
      <alignment horizontal="center" vertical="top" wrapText="1"/>
    </xf>
    <xf numFmtId="9" fontId="5" fillId="0" borderId="0" xfId="0" applyNumberFormat="1" applyFont="1" applyAlignment="1">
      <alignment horizontal="center" vertical="center"/>
    </xf>
    <xf numFmtId="165" fontId="5" fillId="0" borderId="0" xfId="0" applyNumberFormat="1" applyFont="1" applyAlignment="1">
      <alignment horizontal="right"/>
    </xf>
    <xf numFmtId="0" fontId="2" fillId="0" borderId="2" xfId="0" applyFont="1" applyBorder="1" applyAlignment="1">
      <alignment horizontal="right"/>
    </xf>
    <xf numFmtId="0" fontId="2" fillId="0" borderId="0" xfId="0" applyFont="1" applyAlignment="1">
      <alignment horizontal="right"/>
    </xf>
    <xf numFmtId="0" fontId="0" fillId="0" borderId="0" xfId="0" applyProtection="1">
      <protection locked="0"/>
    </xf>
    <xf numFmtId="0" fontId="8" fillId="0" borderId="0" xfId="0" applyFont="1" applyAlignment="1" applyProtection="1">
      <alignment vertical="center" wrapText="1"/>
      <protection locked="0"/>
    </xf>
    <xf numFmtId="0" fontId="29" fillId="0" borderId="0" xfId="0" applyFont="1"/>
    <xf numFmtId="0" fontId="30" fillId="0" borderId="0" xfId="0" applyFont="1"/>
    <xf numFmtId="0" fontId="31" fillId="0" borderId="0" xfId="0" applyFont="1"/>
    <xf numFmtId="0" fontId="0" fillId="4" borderId="13" xfId="0" applyFill="1" applyBorder="1"/>
    <xf numFmtId="0" fontId="30" fillId="0" borderId="10" xfId="0" applyFont="1" applyBorder="1"/>
    <xf numFmtId="0" fontId="30" fillId="0" borderId="2" xfId="0" applyFont="1" applyBorder="1" applyAlignment="1">
      <alignment horizontal="right"/>
    </xf>
    <xf numFmtId="0" fontId="5" fillId="0" borderId="0" xfId="3" applyFont="1" applyAlignment="1">
      <alignment vertical="center"/>
    </xf>
    <xf numFmtId="0" fontId="2" fillId="0" borderId="9" xfId="0" applyFont="1" applyBorder="1" applyAlignment="1">
      <alignment horizontal="right" vertical="top"/>
    </xf>
    <xf numFmtId="0" fontId="30" fillId="0" borderId="21" xfId="0" applyFont="1" applyBorder="1"/>
    <xf numFmtId="0" fontId="30" fillId="0" borderId="22" xfId="0" applyFont="1" applyBorder="1"/>
    <xf numFmtId="0" fontId="30" fillId="0" borderId="33" xfId="0" applyFont="1" applyBorder="1"/>
    <xf numFmtId="0" fontId="3" fillId="0" borderId="26" xfId="0" applyFont="1" applyBorder="1"/>
    <xf numFmtId="0" fontId="3" fillId="0" borderId="27" xfId="0" applyFont="1" applyBorder="1"/>
    <xf numFmtId="0" fontId="0" fillId="0" borderId="23" xfId="0" applyBorder="1"/>
    <xf numFmtId="0" fontId="0" fillId="0" borderId="24" xfId="0" applyBorder="1"/>
    <xf numFmtId="0" fontId="0" fillId="0" borderId="35" xfId="0" applyBorder="1"/>
    <xf numFmtId="0" fontId="31" fillId="0" borderId="22" xfId="0" applyFont="1" applyBorder="1"/>
    <xf numFmtId="0" fontId="30" fillId="0" borderId="33" xfId="0" applyFont="1" applyBorder="1" applyAlignment="1">
      <alignment horizontal="right"/>
    </xf>
    <xf numFmtId="0" fontId="30" fillId="0" borderId="22" xfId="0" applyFont="1" applyBorder="1" applyAlignment="1">
      <alignment horizontal="right"/>
    </xf>
    <xf numFmtId="0" fontId="31" fillId="0" borderId="33" xfId="0" applyFont="1" applyBorder="1"/>
    <xf numFmtId="0" fontId="31" fillId="0" borderId="29" xfId="0" applyFont="1" applyBorder="1"/>
    <xf numFmtId="0" fontId="0" fillId="0" borderId="26" xfId="0" applyBorder="1"/>
    <xf numFmtId="0" fontId="10" fillId="0" borderId="38" xfId="0" applyFont="1" applyBorder="1"/>
    <xf numFmtId="0" fontId="5" fillId="0" borderId="38" xfId="0" applyFont="1" applyBorder="1"/>
    <xf numFmtId="0" fontId="10" fillId="0" borderId="39" xfId="0" applyFont="1" applyBorder="1"/>
    <xf numFmtId="0" fontId="2" fillId="0" borderId="37" xfId="0" applyFont="1" applyBorder="1"/>
    <xf numFmtId="0" fontId="2" fillId="0" borderId="26" xfId="0" applyFont="1" applyBorder="1"/>
    <xf numFmtId="0" fontId="0" fillId="0" borderId="0" xfId="0" applyProtection="1">
      <protection hidden="1"/>
    </xf>
    <xf numFmtId="0" fontId="0" fillId="0" borderId="27" xfId="0" applyBorder="1" applyProtection="1">
      <protection hidden="1"/>
    </xf>
    <xf numFmtId="0" fontId="3" fillId="0" borderId="0" xfId="0" applyFont="1" applyProtection="1">
      <protection hidden="1"/>
    </xf>
    <xf numFmtId="0" fontId="3" fillId="0" borderId="27" xfId="0" applyFont="1" applyBorder="1" applyProtection="1">
      <protection hidden="1"/>
    </xf>
    <xf numFmtId="0" fontId="0" fillId="0" borderId="35" xfId="0" applyBorder="1" applyProtection="1">
      <protection hidden="1"/>
    </xf>
    <xf numFmtId="0" fontId="0" fillId="0" borderId="24" xfId="0" applyBorder="1" applyProtection="1">
      <protection hidden="1"/>
    </xf>
    <xf numFmtId="0" fontId="30" fillId="0" borderId="33" xfId="0" applyFont="1" applyBorder="1" applyProtection="1">
      <protection hidden="1"/>
    </xf>
    <xf numFmtId="0" fontId="30" fillId="0" borderId="36" xfId="0" applyFont="1" applyBorder="1" applyProtection="1">
      <protection hidden="1"/>
    </xf>
    <xf numFmtId="0" fontId="13" fillId="0" borderId="10" xfId="0" applyFont="1" applyBorder="1" applyProtection="1">
      <protection hidden="1"/>
    </xf>
    <xf numFmtId="0" fontId="13" fillId="0" borderId="2" xfId="0" applyFont="1" applyBorder="1" applyProtection="1">
      <protection hidden="1"/>
    </xf>
    <xf numFmtId="0" fontId="0" fillId="0" borderId="10" xfId="0" applyBorder="1" applyProtection="1">
      <protection hidden="1"/>
    </xf>
    <xf numFmtId="0" fontId="0" fillId="0" borderId="2" xfId="0" applyBorder="1" applyProtection="1">
      <protection hidden="1"/>
    </xf>
    <xf numFmtId="0" fontId="2" fillId="0" borderId="10" xfId="0" applyFont="1" applyBorder="1" applyProtection="1">
      <protection hidden="1"/>
    </xf>
    <xf numFmtId="9" fontId="2" fillId="0" borderId="2" xfId="0" applyNumberFormat="1" applyFont="1" applyBorder="1" applyProtection="1">
      <protection hidden="1"/>
    </xf>
    <xf numFmtId="0" fontId="0" fillId="0" borderId="35" xfId="0" applyBorder="1" applyAlignment="1" applyProtection="1">
      <alignment horizontal="right"/>
      <protection hidden="1"/>
    </xf>
    <xf numFmtId="0" fontId="0" fillId="0" borderId="41" xfId="0" applyBorder="1" applyAlignment="1" applyProtection="1">
      <alignment horizontal="right"/>
      <protection hidden="1"/>
    </xf>
    <xf numFmtId="0" fontId="0" fillId="0" borderId="28" xfId="0" applyBorder="1" applyProtection="1">
      <protection hidden="1"/>
    </xf>
    <xf numFmtId="0" fontId="30" fillId="0" borderId="22" xfId="0" applyFont="1" applyBorder="1" applyProtection="1">
      <protection hidden="1"/>
    </xf>
    <xf numFmtId="0" fontId="30" fillId="0" borderId="29" xfId="0" applyFont="1" applyBorder="1" applyProtection="1">
      <protection hidden="1"/>
    </xf>
    <xf numFmtId="0" fontId="2" fillId="0" borderId="0" xfId="0" applyFont="1" applyProtection="1">
      <protection hidden="1"/>
    </xf>
    <xf numFmtId="0" fontId="2" fillId="0" borderId="27" xfId="0" applyFont="1" applyBorder="1" applyProtection="1">
      <protection hidden="1"/>
    </xf>
    <xf numFmtId="0" fontId="16" fillId="0" borderId="30" xfId="0" applyFont="1" applyBorder="1" applyAlignment="1">
      <alignment horizontal="center" vertical="top" wrapText="1"/>
    </xf>
    <xf numFmtId="0" fontId="10" fillId="0" borderId="43" xfId="0" applyFont="1" applyBorder="1" applyProtection="1">
      <protection hidden="1"/>
    </xf>
    <xf numFmtId="0" fontId="0" fillId="0" borderId="32" xfId="0" applyBorder="1"/>
    <xf numFmtId="0" fontId="10" fillId="0" borderId="32" xfId="0" applyFont="1" applyBorder="1" applyProtection="1">
      <protection hidden="1"/>
    </xf>
    <xf numFmtId="0" fontId="30" fillId="0" borderId="7" xfId="0" applyFont="1" applyBorder="1"/>
    <xf numFmtId="0" fontId="0" fillId="0" borderId="18" xfId="0" applyBorder="1"/>
    <xf numFmtId="0" fontId="30" fillId="0" borderId="18" xfId="0" applyFont="1" applyBorder="1"/>
    <xf numFmtId="0" fontId="0" fillId="0" borderId="1" xfId="0" applyBorder="1"/>
    <xf numFmtId="0" fontId="3" fillId="0" borderId="18" xfId="0" applyFont="1" applyBorder="1"/>
    <xf numFmtId="0" fontId="3" fillId="0" borderId="18" xfId="0" applyFont="1" applyBorder="1" applyAlignment="1">
      <alignment horizontal="right"/>
    </xf>
    <xf numFmtId="0" fontId="3" fillId="0" borderId="1" xfId="0" applyFont="1" applyBorder="1"/>
    <xf numFmtId="0" fontId="10" fillId="0" borderId="47" xfId="0" applyFont="1" applyBorder="1" applyProtection="1">
      <protection hidden="1"/>
    </xf>
    <xf numFmtId="0" fontId="0" fillId="0" borderId="48" xfId="0" applyBorder="1"/>
    <xf numFmtId="0" fontId="10" fillId="0" borderId="48" xfId="0" applyFont="1" applyBorder="1" applyProtection="1">
      <protection hidden="1"/>
    </xf>
    <xf numFmtId="0" fontId="0" fillId="0" borderId="49" xfId="0" applyBorder="1"/>
    <xf numFmtId="0" fontId="0" fillId="0" borderId="43" xfId="0" applyBorder="1"/>
    <xf numFmtId="0" fontId="3" fillId="0" borderId="7" xfId="0" applyFont="1" applyBorder="1"/>
    <xf numFmtId="0" fontId="0" fillId="0" borderId="46" xfId="0" applyBorder="1"/>
    <xf numFmtId="0" fontId="0" fillId="0" borderId="7" xfId="0" applyBorder="1"/>
    <xf numFmtId="0" fontId="0" fillId="0" borderId="12" xfId="0" applyBorder="1" applyProtection="1">
      <protection hidden="1"/>
    </xf>
    <xf numFmtId="0" fontId="0" fillId="0" borderId="54" xfId="0" applyBorder="1" applyProtection="1">
      <protection hidden="1"/>
    </xf>
    <xf numFmtId="0" fontId="8" fillId="0" borderId="27" xfId="0" applyFont="1" applyBorder="1" applyAlignment="1" applyProtection="1">
      <alignment horizontal="right"/>
      <protection hidden="1"/>
    </xf>
    <xf numFmtId="0" fontId="0" fillId="0" borderId="42" xfId="0" applyBorder="1"/>
    <xf numFmtId="0" fontId="0" fillId="0" borderId="3" xfId="0" applyBorder="1"/>
    <xf numFmtId="0" fontId="0" fillId="0" borderId="11" xfId="0" applyBorder="1"/>
    <xf numFmtId="0" fontId="18" fillId="0" borderId="25" xfId="0" applyFont="1" applyBorder="1" applyAlignment="1">
      <alignment horizontal="center" vertical="top" wrapText="1"/>
    </xf>
    <xf numFmtId="165" fontId="8" fillId="0" borderId="5" xfId="0" applyNumberFormat="1" applyFont="1" applyBorder="1" applyAlignment="1" applyProtection="1">
      <alignment horizontal="right"/>
      <protection hidden="1"/>
    </xf>
    <xf numFmtId="165" fontId="0" fillId="0" borderId="10" xfId="0" applyNumberFormat="1" applyBorder="1" applyProtection="1">
      <protection hidden="1"/>
    </xf>
    <xf numFmtId="0" fontId="33" fillId="0" borderId="22" xfId="0" applyFont="1" applyBorder="1"/>
    <xf numFmtId="171" fontId="0" fillId="0" borderId="0" xfId="0" applyNumberFormat="1"/>
    <xf numFmtId="171" fontId="2" fillId="0" borderId="0" xfId="0" applyNumberFormat="1" applyFont="1"/>
    <xf numFmtId="168" fontId="2" fillId="0" borderId="0" xfId="2" applyNumberFormat="1" applyFont="1"/>
    <xf numFmtId="0" fontId="35" fillId="0" borderId="0" xfId="0" applyFont="1"/>
    <xf numFmtId="165" fontId="30" fillId="5" borderId="0" xfId="0" applyNumberFormat="1" applyFont="1" applyFill="1" applyAlignment="1" applyProtection="1">
      <alignment vertical="center"/>
      <protection locked="0"/>
    </xf>
    <xf numFmtId="2" fontId="16" fillId="6" borderId="21" xfId="0" applyNumberFormat="1" applyFont="1" applyFill="1" applyBorder="1" applyAlignment="1">
      <alignment horizontal="center" vertical="top" wrapText="1"/>
    </xf>
    <xf numFmtId="2" fontId="16" fillId="6" borderId="31" xfId="0" applyNumberFormat="1" applyFont="1" applyFill="1" applyBorder="1" applyAlignment="1">
      <alignment horizontal="center" vertical="top" wrapText="1"/>
    </xf>
    <xf numFmtId="2" fontId="16" fillId="6" borderId="26" xfId="0" applyNumberFormat="1" applyFont="1" applyFill="1" applyBorder="1" applyAlignment="1">
      <alignment horizontal="center" vertical="top" wrapText="1"/>
    </xf>
    <xf numFmtId="2" fontId="16" fillId="6" borderId="23" xfId="0" applyNumberFormat="1" applyFont="1" applyFill="1" applyBorder="1" applyAlignment="1">
      <alignment horizontal="center" vertical="top" wrapText="1"/>
    </xf>
    <xf numFmtId="2" fontId="16" fillId="6" borderId="25" xfId="0" applyNumberFormat="1" applyFont="1" applyFill="1" applyBorder="1" applyAlignment="1">
      <alignment horizontal="center" vertical="top" wrapText="1"/>
    </xf>
    <xf numFmtId="2" fontId="0" fillId="0" borderId="0" xfId="0" applyNumberFormat="1" applyAlignment="1" applyProtection="1">
      <alignment horizontal="center"/>
      <protection hidden="1"/>
    </xf>
    <xf numFmtId="165" fontId="0" fillId="0" borderId="18" xfId="0" applyNumberFormat="1" applyBorder="1" applyAlignment="1">
      <alignment horizontal="right"/>
    </xf>
    <xf numFmtId="0" fontId="0" fillId="0" borderId="18" xfId="0" applyBorder="1" applyAlignment="1">
      <alignment horizontal="right"/>
    </xf>
    <xf numFmtId="0" fontId="0" fillId="0" borderId="8" xfId="0" applyBorder="1" applyAlignment="1">
      <alignment horizontal="right"/>
    </xf>
    <xf numFmtId="0" fontId="0" fillId="0" borderId="12" xfId="0" applyBorder="1" applyAlignment="1">
      <alignment horizontal="right"/>
    </xf>
    <xf numFmtId="0" fontId="2" fillId="0" borderId="0" xfId="0" applyFont="1" applyAlignment="1">
      <alignment horizontal="left"/>
    </xf>
    <xf numFmtId="172" fontId="16" fillId="6" borderId="27" xfId="0" applyNumberFormat="1" applyFont="1" applyFill="1" applyBorder="1" applyAlignment="1">
      <alignment horizontal="center" vertical="top" wrapText="1"/>
    </xf>
    <xf numFmtId="173" fontId="3" fillId="0" borderId="0" xfId="0" applyNumberFormat="1" applyFont="1" applyProtection="1">
      <protection hidden="1"/>
    </xf>
    <xf numFmtId="0" fontId="1" fillId="0" borderId="0" xfId="0" applyFont="1" applyAlignment="1">
      <alignment horizontal="left"/>
    </xf>
    <xf numFmtId="2" fontId="0" fillId="0" borderId="0" xfId="0" applyNumberFormat="1" applyAlignment="1">
      <alignment horizontal="center" vertical="center"/>
    </xf>
    <xf numFmtId="2" fontId="0" fillId="0" borderId="0" xfId="0" applyNumberFormat="1" applyAlignment="1">
      <alignment horizontal="right"/>
    </xf>
    <xf numFmtId="165" fontId="2" fillId="0" borderId="0" xfId="0" applyNumberFormat="1" applyFont="1"/>
    <xf numFmtId="2" fontId="0" fillId="0" borderId="0" xfId="0" applyNumberFormat="1" applyAlignment="1" applyProtection="1">
      <alignment horizontal="left"/>
      <protection hidden="1"/>
    </xf>
    <xf numFmtId="0" fontId="30" fillId="0" borderId="10" xfId="0" applyFont="1" applyBorder="1" applyProtection="1">
      <protection hidden="1"/>
    </xf>
    <xf numFmtId="0" fontId="30" fillId="0" borderId="2" xfId="0" applyFont="1" applyBorder="1" applyProtection="1">
      <protection hidden="1"/>
    </xf>
    <xf numFmtId="0" fontId="30" fillId="0" borderId="0" xfId="0" applyFont="1" applyProtection="1">
      <protection hidden="1"/>
    </xf>
    <xf numFmtId="0" fontId="30" fillId="0" borderId="27" xfId="0" applyFont="1" applyBorder="1" applyProtection="1">
      <protection hidden="1"/>
    </xf>
    <xf numFmtId="0" fontId="13" fillId="0" borderId="0" xfId="0" applyFont="1"/>
    <xf numFmtId="0" fontId="13" fillId="0" borderId="0" xfId="0" applyFont="1" applyAlignment="1">
      <alignment horizontal="right"/>
    </xf>
    <xf numFmtId="0" fontId="10" fillId="0" borderId="46" xfId="0" applyFont="1" applyBorder="1" applyProtection="1">
      <protection hidden="1"/>
    </xf>
    <xf numFmtId="165" fontId="5" fillId="0" borderId="0" xfId="0" applyNumberFormat="1" applyFont="1" applyAlignment="1">
      <alignment horizontal="center" vertical="center"/>
    </xf>
    <xf numFmtId="14" fontId="0" fillId="0" borderId="0" xfId="0" applyNumberFormat="1" applyAlignment="1">
      <alignment horizontal="center" vertical="top"/>
    </xf>
    <xf numFmtId="0" fontId="0" fillId="0" borderId="2" xfId="0" applyBorder="1" applyAlignment="1">
      <alignment horizontal="center" vertical="top"/>
    </xf>
    <xf numFmtId="0" fontId="0" fillId="0" borderId="56" xfId="0" applyBorder="1"/>
    <xf numFmtId="0" fontId="10" fillId="0" borderId="42" xfId="0" applyFont="1" applyBorder="1" applyProtection="1">
      <protection hidden="1"/>
    </xf>
    <xf numFmtId="0" fontId="10" fillId="0" borderId="7" xfId="0" applyFont="1" applyBorder="1" applyProtection="1">
      <protection hidden="1"/>
    </xf>
    <xf numFmtId="0" fontId="10" fillId="0" borderId="18" xfId="0" applyFont="1" applyBorder="1" applyProtection="1">
      <protection hidden="1"/>
    </xf>
    <xf numFmtId="0" fontId="0" fillId="0" borderId="47" xfId="0" applyBorder="1"/>
    <xf numFmtId="0" fontId="35" fillId="0" borderId="23" xfId="0" applyFont="1" applyBorder="1" applyAlignment="1" applyProtection="1">
      <alignment horizontal="center"/>
      <protection locked="0"/>
    </xf>
    <xf numFmtId="0" fontId="30" fillId="0" borderId="26" xfId="0" applyFont="1" applyBorder="1"/>
    <xf numFmtId="173" fontId="2" fillId="0" borderId="0" xfId="0" applyNumberFormat="1" applyFont="1" applyAlignment="1">
      <alignment horizontal="right"/>
    </xf>
    <xf numFmtId="174" fontId="1" fillId="0" borderId="0" xfId="0" applyNumberFormat="1" applyFont="1" applyAlignment="1">
      <alignment horizontal="center" vertical="center"/>
    </xf>
    <xf numFmtId="0" fontId="2" fillId="0" borderId="0" xfId="0" applyFont="1" applyAlignment="1">
      <alignment wrapText="1"/>
    </xf>
    <xf numFmtId="0" fontId="3" fillId="0" borderId="0" xfId="0" applyFont="1" applyAlignment="1">
      <alignment horizontal="left"/>
    </xf>
    <xf numFmtId="0" fontId="6" fillId="0" borderId="0" xfId="3" applyFont="1" applyAlignment="1">
      <alignment horizontal="center" vertical="center"/>
    </xf>
    <xf numFmtId="0" fontId="5" fillId="0" borderId="0" xfId="3" applyFont="1" applyAlignment="1">
      <alignment horizontal="center" vertical="center"/>
    </xf>
    <xf numFmtId="0" fontId="37" fillId="2" borderId="0" xfId="0" applyFont="1" applyFill="1" applyAlignment="1">
      <alignment horizontal="center" vertical="top" wrapText="1"/>
    </xf>
    <xf numFmtId="165" fontId="3" fillId="0" borderId="0" xfId="0" applyNumberFormat="1" applyFont="1"/>
    <xf numFmtId="165" fontId="31" fillId="0" borderId="0" xfId="0" applyNumberFormat="1" applyFont="1"/>
    <xf numFmtId="2" fontId="16" fillId="6" borderId="30" xfId="0" applyNumberFormat="1" applyFont="1" applyFill="1" applyBorder="1" applyAlignment="1">
      <alignment horizontal="center" vertical="top" wrapText="1"/>
    </xf>
    <xf numFmtId="41" fontId="5" fillId="0" borderId="0" xfId="1" applyFont="1" applyBorder="1" applyAlignment="1">
      <alignment horizontal="center"/>
    </xf>
    <xf numFmtId="41" fontId="2" fillId="0" borderId="26" xfId="1" applyFont="1" applyBorder="1"/>
    <xf numFmtId="41" fontId="2" fillId="0" borderId="0" xfId="1" applyFont="1" applyBorder="1"/>
    <xf numFmtId="41" fontId="2" fillId="0" borderId="27" xfId="1" applyFont="1" applyBorder="1"/>
    <xf numFmtId="41" fontId="2" fillId="0" borderId="26" xfId="1" applyFont="1" applyBorder="1" applyAlignment="1">
      <alignment horizontal="right" vertical="center" wrapText="1"/>
    </xf>
    <xf numFmtId="41" fontId="2" fillId="0" borderId="0" xfId="1" applyFont="1" applyBorder="1" applyAlignment="1">
      <alignment horizontal="right" vertical="center" wrapText="1"/>
    </xf>
    <xf numFmtId="41" fontId="2" fillId="0" borderId="0" xfId="1" applyFont="1" applyBorder="1" applyAlignment="1">
      <alignment horizontal="center" vertical="center" wrapText="1"/>
    </xf>
    <xf numFmtId="41" fontId="2" fillId="0" borderId="27" xfId="1" applyFont="1" applyBorder="1" applyAlignment="1">
      <alignment horizontal="center" vertical="top" wrapText="1"/>
    </xf>
    <xf numFmtId="167" fontId="2" fillId="0" borderId="26" xfId="1" quotePrefix="1" applyNumberFormat="1" applyFont="1" applyBorder="1" applyAlignment="1">
      <alignment horizontal="right"/>
    </xf>
    <xf numFmtId="167" fontId="2" fillId="0" borderId="0" xfId="1" applyNumberFormat="1" applyFont="1" applyBorder="1"/>
    <xf numFmtId="167" fontId="2" fillId="0" borderId="26" xfId="1" applyNumberFormat="1" applyFont="1" applyBorder="1"/>
    <xf numFmtId="170" fontId="2" fillId="0" borderId="27" xfId="1" applyNumberFormat="1" applyFont="1" applyBorder="1"/>
    <xf numFmtId="167" fontId="2" fillId="0" borderId="0" xfId="1" applyNumberFormat="1" applyFont="1" applyBorder="1" applyAlignment="1">
      <alignment horizontal="right"/>
    </xf>
    <xf numFmtId="41" fontId="2" fillId="0" borderId="23" xfId="1" applyFont="1" applyBorder="1"/>
    <xf numFmtId="41" fontId="2" fillId="0" borderId="24" xfId="1" applyFont="1" applyBorder="1"/>
    <xf numFmtId="41" fontId="2" fillId="0" borderId="28" xfId="1" applyFont="1" applyBorder="1"/>
    <xf numFmtId="41" fontId="15" fillId="0" borderId="0" xfId="1" applyFont="1" applyBorder="1" applyAlignment="1">
      <alignment horizontal="center"/>
    </xf>
    <xf numFmtId="41" fontId="2" fillId="0" borderId="0" xfId="1" applyFont="1" applyBorder="1" applyAlignment="1">
      <alignment horizontal="center" vertical="top" wrapText="1"/>
    </xf>
    <xf numFmtId="170" fontId="2" fillId="0" borderId="0" xfId="1" applyNumberFormat="1" applyFont="1" applyBorder="1"/>
    <xf numFmtId="0" fontId="0" fillId="0" borderId="0" xfId="0"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8" fillId="0" borderId="0" xfId="0" applyFont="1" applyAlignment="1">
      <alignment horizontal="center" vertical="top" wrapText="1"/>
    </xf>
    <xf numFmtId="2" fontId="16" fillId="0" borderId="0" xfId="0" applyNumberFormat="1" applyFont="1" applyAlignment="1">
      <alignment horizontal="center" vertical="top" wrapText="1"/>
    </xf>
    <xf numFmtId="10" fontId="3" fillId="0" borderId="0" xfId="0" applyNumberFormat="1" applyFont="1"/>
    <xf numFmtId="0" fontId="31" fillId="0" borderId="0" xfId="0" applyFont="1" applyProtection="1">
      <protection hidden="1"/>
    </xf>
    <xf numFmtId="2" fontId="31" fillId="0" borderId="0" xfId="0" applyNumberFormat="1" applyFont="1" applyAlignment="1" applyProtection="1">
      <alignment horizontal="center"/>
      <protection hidden="1"/>
    </xf>
    <xf numFmtId="173" fontId="2" fillId="0" borderId="0" xfId="0" applyNumberFormat="1" applyFont="1" applyAlignment="1">
      <alignment horizontal="center"/>
    </xf>
    <xf numFmtId="2" fontId="1" fillId="0" borderId="0" xfId="0" applyNumberFormat="1" applyFont="1" applyAlignment="1" applyProtection="1">
      <alignment horizontal="center"/>
      <protection hidden="1"/>
    </xf>
    <xf numFmtId="165" fontId="10" fillId="0" borderId="0" xfId="0" applyNumberFormat="1" applyFont="1" applyAlignment="1">
      <alignment horizontal="right"/>
    </xf>
    <xf numFmtId="0" fontId="2" fillId="0" borderId="34" xfId="0" applyFont="1" applyBorder="1" applyAlignment="1">
      <alignment horizontal="center" wrapText="1"/>
    </xf>
    <xf numFmtId="0" fontId="2" fillId="0" borderId="51" xfId="0" applyFont="1" applyBorder="1" applyAlignment="1">
      <alignment horizontal="center" wrapText="1"/>
    </xf>
    <xf numFmtId="0" fontId="2" fillId="2" borderId="51" xfId="0" applyFont="1" applyFill="1" applyBorder="1" applyAlignment="1">
      <alignment horizontal="justify" vertical="top" wrapText="1"/>
    </xf>
    <xf numFmtId="0" fontId="2" fillId="2" borderId="60" xfId="0" applyFont="1" applyFill="1" applyBorder="1" applyAlignment="1">
      <alignment vertical="top" wrapText="1"/>
    </xf>
    <xf numFmtId="0" fontId="2" fillId="2" borderId="59" xfId="0" applyFont="1" applyFill="1" applyBorder="1" applyAlignment="1">
      <alignment horizontal="justify" vertical="top" wrapText="1"/>
    </xf>
    <xf numFmtId="0" fontId="2" fillId="2" borderId="41" xfId="0" applyFont="1" applyFill="1" applyBorder="1" applyAlignment="1">
      <alignment horizontal="center" vertical="center" wrapText="1"/>
    </xf>
    <xf numFmtId="0" fontId="2" fillId="2" borderId="28" xfId="0" applyFont="1" applyFill="1" applyBorder="1" applyAlignment="1">
      <alignment horizontal="justify" vertical="top" wrapText="1"/>
    </xf>
    <xf numFmtId="41" fontId="36" fillId="0" borderId="0" xfId="1" applyFont="1" applyFill="1" applyAlignment="1">
      <alignment horizontal="center" vertical="top" wrapText="1"/>
    </xf>
    <xf numFmtId="0" fontId="1" fillId="0" borderId="0" xfId="0" applyFont="1" applyAlignment="1">
      <alignment horizontal="center"/>
    </xf>
    <xf numFmtId="3" fontId="16" fillId="6" borderId="27" xfId="0" applyNumberFormat="1" applyFont="1" applyFill="1" applyBorder="1" applyAlignment="1">
      <alignment horizontal="center" vertical="top" wrapText="1"/>
    </xf>
    <xf numFmtId="3" fontId="16" fillId="6" borderId="28" xfId="0" applyNumberFormat="1" applyFont="1" applyFill="1" applyBorder="1" applyAlignment="1">
      <alignment horizontal="center" vertical="top" wrapText="1"/>
    </xf>
    <xf numFmtId="0" fontId="1" fillId="0" borderId="0" xfId="0" applyFont="1" applyAlignment="1">
      <alignment horizontal="right"/>
    </xf>
    <xf numFmtId="0" fontId="6" fillId="0" borderId="0" xfId="0" applyFont="1"/>
    <xf numFmtId="41" fontId="2" fillId="0" borderId="0" xfId="1" applyFont="1" applyBorder="1" applyAlignment="1">
      <alignment horizontal="right"/>
    </xf>
    <xf numFmtId="2" fontId="2" fillId="0" borderId="26" xfId="1" applyNumberFormat="1" applyFont="1" applyBorder="1"/>
    <xf numFmtId="2" fontId="2" fillId="0" borderId="18" xfId="2" applyNumberFormat="1" applyFont="1" applyBorder="1" applyAlignment="1" applyProtection="1">
      <alignment horizontal="center"/>
      <protection hidden="1"/>
    </xf>
    <xf numFmtId="2" fontId="3" fillId="0" borderId="18" xfId="0" applyNumberFormat="1" applyFont="1" applyBorder="1" applyAlignment="1">
      <alignment horizontal="right"/>
    </xf>
    <xf numFmtId="2" fontId="2" fillId="0" borderId="32" xfId="2" applyNumberFormat="1" applyFont="1" applyBorder="1" applyAlignment="1" applyProtection="1">
      <alignment horizontal="center"/>
      <protection hidden="1"/>
    </xf>
    <xf numFmtId="2" fontId="2" fillId="0" borderId="48" xfId="2" applyNumberFormat="1" applyFont="1" applyBorder="1" applyAlignment="1" applyProtection="1">
      <alignment horizontal="center"/>
      <protection hidden="1"/>
    </xf>
    <xf numFmtId="2" fontId="2" fillId="0" borderId="0" xfId="2" applyNumberFormat="1" applyFont="1" applyAlignment="1" applyProtection="1">
      <alignment horizontal="center"/>
      <protection hidden="1"/>
    </xf>
    <xf numFmtId="2" fontId="2" fillId="0" borderId="56" xfId="2" applyNumberFormat="1" applyFont="1" applyBorder="1" applyAlignment="1" applyProtection="1">
      <alignment horizontal="center"/>
      <protection hidden="1"/>
    </xf>
    <xf numFmtId="2" fontId="2" fillId="0" borderId="5" xfId="2" applyNumberFormat="1" applyFont="1" applyBorder="1" applyAlignment="1" applyProtection="1">
      <alignment horizontal="center"/>
      <protection hidden="1"/>
    </xf>
    <xf numFmtId="2" fontId="2" fillId="0" borderId="42" xfId="2" applyNumberFormat="1" applyFont="1" applyBorder="1" applyAlignment="1" applyProtection="1">
      <alignment horizontal="center"/>
      <protection hidden="1"/>
    </xf>
    <xf numFmtId="2" fontId="2" fillId="0" borderId="0" xfId="2" applyNumberFormat="1" applyFont="1" applyProtection="1">
      <protection hidden="1"/>
    </xf>
    <xf numFmtId="2" fontId="2" fillId="0" borderId="0" xfId="2" applyNumberFormat="1" applyFont="1" applyAlignment="1" applyProtection="1">
      <alignment horizontal="left"/>
      <protection hidden="1"/>
    </xf>
    <xf numFmtId="10" fontId="0" fillId="0" borderId="0" xfId="0" applyNumberFormat="1" applyAlignment="1" applyProtection="1">
      <alignment horizontal="center"/>
      <protection hidden="1"/>
    </xf>
    <xf numFmtId="4" fontId="0" fillId="0" borderId="0" xfId="0" applyNumberFormat="1"/>
    <xf numFmtId="0" fontId="5" fillId="7" borderId="0" xfId="0" applyFont="1" applyFill="1"/>
    <xf numFmtId="0" fontId="0" fillId="7" borderId="0" xfId="0" applyFill="1"/>
    <xf numFmtId="0" fontId="12" fillId="7" borderId="0" xfId="0" applyFont="1" applyFill="1" applyAlignment="1">
      <alignment horizontal="right"/>
    </xf>
    <xf numFmtId="4" fontId="16" fillId="0" borderId="31" xfId="0" applyNumberFormat="1" applyFont="1" applyBorder="1" applyAlignment="1">
      <alignment horizontal="right" vertical="top" wrapText="1"/>
    </xf>
    <xf numFmtId="10" fontId="2" fillId="0" borderId="0" xfId="1" applyNumberFormat="1" applyFont="1" applyFill="1" applyBorder="1" applyAlignment="1">
      <alignment horizontal="center"/>
    </xf>
    <xf numFmtId="0" fontId="11" fillId="0" borderId="22" xfId="0" applyFont="1" applyBorder="1"/>
    <xf numFmtId="0" fontId="2" fillId="0" borderId="22" xfId="0" applyFont="1" applyBorder="1"/>
    <xf numFmtId="0" fontId="8" fillId="7" borderId="26" xfId="0" applyFont="1" applyFill="1" applyBorder="1"/>
    <xf numFmtId="0" fontId="8" fillId="7" borderId="0" xfId="0" applyFont="1" applyFill="1"/>
    <xf numFmtId="0" fontId="5" fillId="7" borderId="27" xfId="0" applyFont="1" applyFill="1" applyBorder="1"/>
    <xf numFmtId="0" fontId="1" fillId="7" borderId="26" xfId="0" applyFont="1" applyFill="1" applyBorder="1"/>
    <xf numFmtId="0" fontId="1" fillId="7" borderId="0" xfId="0" applyFont="1" applyFill="1"/>
    <xf numFmtId="0" fontId="7" fillId="7" borderId="27" xfId="0" applyFont="1" applyFill="1" applyBorder="1"/>
    <xf numFmtId="4" fontId="16" fillId="6" borderId="31" xfId="0" applyNumberFormat="1" applyFont="1" applyFill="1" applyBorder="1" applyAlignment="1">
      <alignment horizontal="center" vertical="top" wrapText="1"/>
    </xf>
    <xf numFmtId="4" fontId="16" fillId="6" borderId="27" xfId="0" applyNumberFormat="1" applyFont="1" applyFill="1" applyBorder="1" applyAlignment="1">
      <alignment horizontal="center" vertical="top" wrapText="1"/>
    </xf>
    <xf numFmtId="4" fontId="16" fillId="6" borderId="25" xfId="0" applyNumberFormat="1" applyFont="1" applyFill="1" applyBorder="1" applyAlignment="1">
      <alignment horizontal="center" vertical="top" wrapText="1"/>
    </xf>
    <xf numFmtId="4" fontId="16" fillId="6" borderId="28" xfId="0" applyNumberFormat="1" applyFont="1" applyFill="1" applyBorder="1" applyAlignment="1">
      <alignment horizontal="center" vertical="top" wrapText="1"/>
    </xf>
    <xf numFmtId="0" fontId="6" fillId="7" borderId="26" xfId="0" applyFont="1" applyFill="1" applyBorder="1" applyAlignment="1">
      <alignment horizontal="center" wrapText="1"/>
    </xf>
    <xf numFmtId="0" fontId="6" fillId="7" borderId="0" xfId="0" applyFont="1" applyFill="1" applyAlignment="1">
      <alignment horizontal="center"/>
    </xf>
    <xf numFmtId="0" fontId="6" fillId="7" borderId="27" xfId="0" applyFont="1" applyFill="1" applyBorder="1" applyAlignment="1">
      <alignment horizontal="center"/>
    </xf>
    <xf numFmtId="0" fontId="8" fillId="7" borderId="26" xfId="0" applyFont="1" applyFill="1" applyBorder="1" applyAlignment="1">
      <alignment horizontal="left"/>
    </xf>
    <xf numFmtId="41" fontId="8" fillId="7" borderId="0" xfId="1" applyFont="1" applyFill="1" applyBorder="1"/>
    <xf numFmtId="0" fontId="8" fillId="7" borderId="27" xfId="0" applyFont="1" applyFill="1" applyBorder="1"/>
    <xf numFmtId="0" fontId="5" fillId="7" borderId="26" xfId="0" applyFont="1" applyFill="1" applyBorder="1" applyAlignment="1">
      <alignment horizontal="left"/>
    </xf>
    <xf numFmtId="0" fontId="5" fillId="7" borderId="0" xfId="0" applyFont="1" applyFill="1" applyAlignment="1">
      <alignment horizontal="center"/>
    </xf>
    <xf numFmtId="0" fontId="0" fillId="7" borderId="27" xfId="0" applyFill="1" applyBorder="1"/>
    <xf numFmtId="0" fontId="5" fillId="7" borderId="27" xfId="0" applyFont="1" applyFill="1" applyBorder="1" applyAlignment="1">
      <alignment horizontal="left"/>
    </xf>
    <xf numFmtId="0" fontId="5" fillId="7" borderId="26" xfId="0" applyFont="1" applyFill="1" applyBorder="1" applyAlignment="1">
      <alignment horizontal="center"/>
    </xf>
    <xf numFmtId="0" fontId="5" fillId="7" borderId="0" xfId="0" applyFont="1" applyFill="1" applyAlignment="1">
      <alignment horizontal="left"/>
    </xf>
    <xf numFmtId="0" fontId="0" fillId="7" borderId="26" xfId="0" applyFill="1" applyBorder="1"/>
    <xf numFmtId="0" fontId="39" fillId="0" borderId="26" xfId="0" applyFont="1" applyBorder="1" applyAlignment="1">
      <alignment horizontal="justify" vertical="top" wrapText="1"/>
    </xf>
    <xf numFmtId="0" fontId="16" fillId="0" borderId="23" xfId="0" applyFont="1" applyBorder="1" applyAlignment="1">
      <alignment horizontal="justify" vertical="top" wrapText="1"/>
    </xf>
    <xf numFmtId="0" fontId="0" fillId="7" borderId="23" xfId="0" applyFill="1" applyBorder="1"/>
    <xf numFmtId="0" fontId="0" fillId="7" borderId="24" xfId="0" applyFill="1" applyBorder="1"/>
    <xf numFmtId="0" fontId="0" fillId="7" borderId="28" xfId="0" applyFill="1" applyBorder="1"/>
    <xf numFmtId="41" fontId="2" fillId="7" borderId="23" xfId="1" applyFont="1" applyFill="1" applyBorder="1"/>
    <xf numFmtId="41" fontId="2" fillId="7" borderId="24" xfId="1" applyFont="1" applyFill="1" applyBorder="1"/>
    <xf numFmtId="41" fontId="2" fillId="7" borderId="28" xfId="1" applyFont="1" applyFill="1" applyBorder="1"/>
    <xf numFmtId="0" fontId="5" fillId="0" borderId="0" xfId="0" applyFont="1" applyProtection="1">
      <protection hidden="1"/>
    </xf>
    <xf numFmtId="0" fontId="5" fillId="0" borderId="0" xfId="0" applyFont="1"/>
    <xf numFmtId="2" fontId="5" fillId="0" borderId="0" xfId="2" applyNumberFormat="1" applyFont="1" applyAlignment="1" applyProtection="1">
      <alignment horizontal="center"/>
      <protection hidden="1"/>
    </xf>
    <xf numFmtId="0" fontId="42" fillId="4" borderId="15" xfId="0" applyFont="1" applyFill="1" applyBorder="1" applyAlignment="1">
      <alignment vertical="center"/>
    </xf>
    <xf numFmtId="0" fontId="1" fillId="0" borderId="45"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 fillId="0" borderId="26" xfId="0" applyFont="1" applyBorder="1"/>
    <xf numFmtId="0" fontId="1" fillId="0" borderId="23" xfId="0" applyFont="1" applyBorder="1"/>
    <xf numFmtId="0" fontId="1" fillId="0" borderId="23" xfId="0" applyFont="1" applyBorder="1" applyAlignment="1" applyProtection="1">
      <alignment horizontal="center"/>
      <protection locked="0"/>
    </xf>
    <xf numFmtId="0" fontId="1" fillId="8" borderId="34" xfId="0" applyFont="1" applyFill="1" applyBorder="1" applyAlignment="1" applyProtection="1">
      <alignment horizontal="center"/>
      <protection locked="0"/>
    </xf>
    <xf numFmtId="0" fontId="0" fillId="8" borderId="0" xfId="0" applyFill="1"/>
    <xf numFmtId="165" fontId="1" fillId="0" borderId="0" xfId="0" applyNumberFormat="1" applyFont="1"/>
    <xf numFmtId="0" fontId="41" fillId="0" borderId="0" xfId="0" applyFont="1"/>
    <xf numFmtId="0" fontId="0" fillId="0" borderId="7" xfId="0" applyBorder="1"/>
    <xf numFmtId="0" fontId="0" fillId="0" borderId="1" xfId="0" applyBorder="1"/>
    <xf numFmtId="165" fontId="5" fillId="0" borderId="38" xfId="0" applyNumberFormat="1" applyFont="1" applyBorder="1" applyAlignment="1" applyProtection="1">
      <alignment horizontal="right"/>
      <protection hidden="1"/>
    </xf>
    <xf numFmtId="0" fontId="5" fillId="0" borderId="40" xfId="0" applyFont="1" applyBorder="1" applyAlignment="1" applyProtection="1">
      <alignment horizontal="right"/>
      <protection hidden="1"/>
    </xf>
    <xf numFmtId="165" fontId="1" fillId="0" borderId="0" xfId="0" applyNumberFormat="1" applyFont="1" applyAlignment="1" applyProtection="1">
      <alignment horizontal="right"/>
      <protection hidden="1"/>
    </xf>
    <xf numFmtId="0" fontId="1" fillId="0" borderId="27" xfId="0" applyFont="1" applyBorder="1" applyAlignment="1" applyProtection="1">
      <alignment horizontal="right"/>
      <protection hidden="1"/>
    </xf>
    <xf numFmtId="165" fontId="8" fillId="0" borderId="32" xfId="0" applyNumberFormat="1" applyFont="1" applyBorder="1" applyAlignment="1" applyProtection="1">
      <alignment horizontal="right"/>
      <protection hidden="1"/>
    </xf>
    <xf numFmtId="0" fontId="8" fillId="0" borderId="50" xfId="0" applyFont="1" applyBorder="1" applyAlignment="1" applyProtection="1">
      <alignment horizontal="right"/>
      <protection hidden="1"/>
    </xf>
    <xf numFmtId="165" fontId="8" fillId="0" borderId="48" xfId="0" applyNumberFormat="1" applyFont="1" applyBorder="1" applyAlignment="1" applyProtection="1">
      <alignment horizontal="right"/>
      <protection hidden="1"/>
    </xf>
    <xf numFmtId="0" fontId="8" fillId="0" borderId="53" xfId="0" applyFont="1" applyBorder="1" applyAlignment="1" applyProtection="1">
      <alignment horizontal="right"/>
      <protection hidden="1"/>
    </xf>
    <xf numFmtId="165" fontId="8" fillId="0" borderId="53" xfId="0" applyNumberFormat="1" applyFont="1" applyBorder="1" applyAlignment="1" applyProtection="1">
      <alignment horizontal="right"/>
      <protection hidden="1"/>
    </xf>
    <xf numFmtId="165" fontId="5" fillId="0" borderId="18" xfId="0" applyNumberFormat="1" applyFont="1" applyBorder="1" applyAlignment="1" applyProtection="1">
      <alignment horizontal="right"/>
      <protection hidden="1"/>
    </xf>
    <xf numFmtId="165" fontId="5" fillId="0" borderId="51" xfId="0" applyNumberFormat="1" applyFont="1" applyBorder="1" applyAlignment="1" applyProtection="1">
      <alignment horizontal="right"/>
      <protection hidden="1"/>
    </xf>
    <xf numFmtId="165" fontId="8" fillId="0" borderId="18" xfId="0" applyNumberFormat="1" applyFont="1" applyBorder="1" applyAlignment="1" applyProtection="1">
      <alignment horizontal="right"/>
      <protection hidden="1"/>
    </xf>
    <xf numFmtId="0" fontId="8" fillId="0" borderId="51" xfId="0" applyFont="1" applyBorder="1" applyAlignment="1" applyProtection="1">
      <alignment horizontal="right"/>
      <protection hidden="1"/>
    </xf>
    <xf numFmtId="165" fontId="8" fillId="0" borderId="12" xfId="0" applyNumberFormat="1" applyFont="1" applyBorder="1" applyAlignment="1" applyProtection="1">
      <alignment horizontal="right"/>
      <protection hidden="1"/>
    </xf>
    <xf numFmtId="165" fontId="8" fillId="0" borderId="54" xfId="0" applyNumberFormat="1" applyFont="1" applyBorder="1" applyAlignment="1" applyProtection="1">
      <alignment horizontal="right"/>
      <protection hidden="1"/>
    </xf>
    <xf numFmtId="164" fontId="2" fillId="7" borderId="22" xfId="6" applyNumberFormat="1" applyFont="1" applyFill="1" applyBorder="1" applyAlignment="1" applyProtection="1">
      <alignment horizontal="center"/>
      <protection locked="0"/>
    </xf>
    <xf numFmtId="165" fontId="5" fillId="4" borderId="14" xfId="0" applyNumberFormat="1" applyFont="1" applyFill="1" applyBorder="1" applyAlignment="1" applyProtection="1">
      <alignment horizontal="right" vertical="center" shrinkToFit="1"/>
      <protection hidden="1"/>
    </xf>
    <xf numFmtId="0" fontId="5" fillId="4" borderId="17" xfId="0" applyFont="1" applyFill="1" applyBorder="1" applyAlignment="1" applyProtection="1">
      <alignment horizontal="right" vertical="center" shrinkToFit="1"/>
      <protection hidden="1"/>
    </xf>
    <xf numFmtId="165" fontId="5" fillId="0" borderId="0" xfId="0" applyNumberFormat="1" applyFont="1" applyAlignment="1" applyProtection="1">
      <alignment horizontal="right"/>
      <protection hidden="1"/>
    </xf>
    <xf numFmtId="0" fontId="5" fillId="0" borderId="27" xfId="0" applyFont="1" applyBorder="1" applyAlignment="1" applyProtection="1">
      <alignment horizontal="right"/>
      <protection hidden="1"/>
    </xf>
    <xf numFmtId="4" fontId="0" fillId="0" borderId="0" xfId="0" applyNumberFormat="1" applyAlignment="1">
      <alignment horizontal="right"/>
    </xf>
    <xf numFmtId="165" fontId="5" fillId="4" borderId="15" xfId="0" applyNumberFormat="1" applyFont="1" applyFill="1" applyBorder="1" applyAlignment="1">
      <alignment horizontal="right" vertical="center" shrinkToFit="1"/>
    </xf>
    <xf numFmtId="0" fontId="5" fillId="4" borderId="16" xfId="0" applyFont="1" applyFill="1" applyBorder="1" applyAlignment="1">
      <alignment horizontal="right" vertical="center" shrinkToFit="1"/>
    </xf>
    <xf numFmtId="165" fontId="5" fillId="0" borderId="37" xfId="0" applyNumberFormat="1" applyFont="1" applyBorder="1" applyAlignment="1" applyProtection="1">
      <alignment horizontal="right"/>
      <protection hidden="1"/>
    </xf>
    <xf numFmtId="0" fontId="5" fillId="0" borderId="39" xfId="0" applyFont="1" applyBorder="1" applyAlignment="1" applyProtection="1">
      <alignment horizontal="right"/>
      <protection hidden="1"/>
    </xf>
    <xf numFmtId="10" fontId="5" fillId="0" borderId="0" xfId="0" applyNumberFormat="1" applyFont="1" applyAlignment="1" applyProtection="1">
      <alignment horizontal="center" vertical="center"/>
      <protection hidden="1"/>
    </xf>
    <xf numFmtId="0" fontId="5" fillId="4" borderId="14" xfId="0" applyFont="1" applyFill="1" applyBorder="1" applyAlignment="1">
      <alignment horizontal="left" wrapText="1"/>
    </xf>
    <xf numFmtId="0" fontId="5" fillId="4" borderId="14" xfId="0" applyFont="1" applyFill="1" applyBorder="1" applyAlignment="1">
      <alignment horizontal="left"/>
    </xf>
    <xf numFmtId="0" fontId="5" fillId="4" borderId="16" xfId="0" applyFont="1" applyFill="1" applyBorder="1" applyAlignment="1">
      <alignment horizontal="left"/>
    </xf>
    <xf numFmtId="165" fontId="5" fillId="4" borderId="14" xfId="0" applyNumberFormat="1" applyFont="1" applyFill="1" applyBorder="1" applyAlignment="1">
      <alignment horizontal="left" wrapText="1"/>
    </xf>
    <xf numFmtId="165" fontId="5" fillId="4" borderId="14" xfId="0" applyNumberFormat="1" applyFont="1" applyFill="1" applyBorder="1" applyAlignment="1">
      <alignment horizontal="left"/>
    </xf>
    <xf numFmtId="165" fontId="0" fillId="0" borderId="0" xfId="0" applyNumberFormat="1" applyAlignment="1">
      <alignment horizontal="center"/>
    </xf>
    <xf numFmtId="165" fontId="5" fillId="0" borderId="10" xfId="0" applyNumberFormat="1" applyFont="1" applyBorder="1" applyAlignment="1" applyProtection="1">
      <alignment horizontal="right"/>
      <protection hidden="1"/>
    </xf>
    <xf numFmtId="0" fontId="5" fillId="0" borderId="0" xfId="0" applyFont="1" applyAlignment="1" applyProtection="1">
      <alignment horizontal="right"/>
      <protection hidden="1"/>
    </xf>
    <xf numFmtId="165" fontId="0" fillId="0" borderId="0" xfId="0" applyNumberFormat="1" applyAlignment="1" applyProtection="1">
      <alignment horizontal="right"/>
      <protection hidden="1"/>
    </xf>
    <xf numFmtId="0" fontId="0" fillId="0" borderId="27" xfId="0" applyBorder="1" applyAlignment="1" applyProtection="1">
      <alignment horizontal="right"/>
      <protection hidden="1"/>
    </xf>
    <xf numFmtId="165" fontId="0" fillId="0" borderId="10" xfId="0" applyNumberFormat="1" applyBorder="1" applyAlignment="1" applyProtection="1">
      <alignment horizontal="right"/>
      <protection hidden="1"/>
    </xf>
    <xf numFmtId="165" fontId="0" fillId="0" borderId="2" xfId="0" applyNumberFormat="1" applyBorder="1" applyAlignment="1" applyProtection="1">
      <alignment horizontal="right"/>
      <protection hidden="1"/>
    </xf>
    <xf numFmtId="0" fontId="30"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vertical="top"/>
      <protection locked="0"/>
    </xf>
    <xf numFmtId="0" fontId="5" fillId="5" borderId="1" xfId="0" applyFont="1" applyFill="1" applyBorder="1" applyAlignment="1" applyProtection="1">
      <alignment vertical="top"/>
      <protection locked="0"/>
    </xf>
    <xf numFmtId="4" fontId="2" fillId="0" borderId="0" xfId="0" applyNumberFormat="1" applyFont="1" applyAlignment="1">
      <alignment horizontal="right"/>
    </xf>
    <xf numFmtId="0" fontId="0" fillId="0" borderId="2" xfId="0" applyBorder="1" applyAlignment="1" applyProtection="1">
      <alignment horizontal="right"/>
      <protection hidden="1"/>
    </xf>
    <xf numFmtId="165" fontId="10" fillId="0" borderId="0" xfId="0" applyNumberFormat="1" applyFont="1" applyAlignment="1">
      <alignment horizontal="right"/>
    </xf>
    <xf numFmtId="165" fontId="10" fillId="0" borderId="32" xfId="0" applyNumberFormat="1" applyFont="1" applyBorder="1" applyAlignment="1">
      <alignment horizontal="right"/>
    </xf>
    <xf numFmtId="165" fontId="0" fillId="0" borderId="10" xfId="0" applyNumberFormat="1" applyBorder="1" applyAlignment="1" applyProtection="1">
      <alignment horizontal="right" shrinkToFit="1"/>
      <protection hidden="1"/>
    </xf>
    <xf numFmtId="0" fontId="0" fillId="0" borderId="2" xfId="0" applyBorder="1" applyAlignment="1" applyProtection="1">
      <alignment horizontal="right" shrinkToFit="1"/>
      <protection hidden="1"/>
    </xf>
    <xf numFmtId="165" fontId="8" fillId="0" borderId="10" xfId="0" applyNumberFormat="1" applyFont="1" applyBorder="1" applyAlignment="1" applyProtection="1">
      <alignment horizontal="right" shrinkToFit="1"/>
      <protection hidden="1"/>
    </xf>
    <xf numFmtId="0" fontId="8" fillId="0" borderId="2" xfId="0" applyFont="1" applyBorder="1" applyAlignment="1" applyProtection="1">
      <alignment horizontal="right" shrinkToFit="1"/>
      <protection hidden="1"/>
    </xf>
    <xf numFmtId="165" fontId="0" fillId="0" borderId="43" xfId="0" applyNumberFormat="1" applyBorder="1" applyAlignment="1" applyProtection="1">
      <alignment horizontal="right"/>
      <protection hidden="1"/>
    </xf>
    <xf numFmtId="0" fontId="0" fillId="0" borderId="32" xfId="0" applyBorder="1" applyAlignment="1" applyProtection="1">
      <alignment horizontal="right"/>
      <protection hidden="1"/>
    </xf>
    <xf numFmtId="165" fontId="5" fillId="0" borderId="7" xfId="0" applyNumberFormat="1" applyFont="1" applyBorder="1" applyAlignment="1">
      <alignment horizontal="right"/>
    </xf>
    <xf numFmtId="165" fontId="5" fillId="0" borderId="1" xfId="0" applyNumberFormat="1" applyFont="1" applyBorder="1" applyAlignment="1">
      <alignment horizontal="right"/>
    </xf>
    <xf numFmtId="165" fontId="5" fillId="0" borderId="10" xfId="0" applyNumberFormat="1" applyFont="1" applyBorder="1" applyAlignment="1">
      <alignment horizontal="right" shrinkToFit="1"/>
    </xf>
    <xf numFmtId="0" fontId="5" fillId="0" borderId="2" xfId="0" applyFont="1" applyBorder="1" applyAlignment="1">
      <alignment horizontal="right" shrinkToFit="1"/>
    </xf>
    <xf numFmtId="165" fontId="5" fillId="0" borderId="11" xfId="0" applyNumberFormat="1" applyFont="1" applyBorder="1" applyAlignment="1">
      <alignment horizontal="right"/>
    </xf>
    <xf numFmtId="165" fontId="5" fillId="0" borderId="3" xfId="0" applyNumberFormat="1" applyFont="1" applyBorder="1" applyAlignment="1">
      <alignment horizontal="right"/>
    </xf>
    <xf numFmtId="165" fontId="5" fillId="0" borderId="0" xfId="0" applyNumberFormat="1" applyFont="1" applyAlignment="1" applyProtection="1">
      <alignment horizontal="right" shrinkToFit="1"/>
      <protection hidden="1"/>
    </xf>
    <xf numFmtId="0" fontId="5" fillId="0" borderId="27" xfId="0" applyFont="1" applyBorder="1" applyAlignment="1" applyProtection="1">
      <alignment horizontal="right" shrinkToFit="1"/>
      <protection hidden="1"/>
    </xf>
    <xf numFmtId="165" fontId="8" fillId="0" borderId="42" xfId="0" applyNumberFormat="1" applyFont="1" applyBorder="1" applyAlignment="1" applyProtection="1">
      <alignment horizontal="right"/>
      <protection hidden="1"/>
    </xf>
    <xf numFmtId="0" fontId="8" fillId="0" borderId="52" xfId="0" applyFont="1" applyBorder="1" applyAlignment="1" applyProtection="1">
      <alignment horizontal="right"/>
      <protection hidden="1"/>
    </xf>
    <xf numFmtId="165" fontId="8" fillId="0" borderId="56" xfId="0" applyNumberFormat="1" applyFont="1" applyBorder="1" applyAlignment="1" applyProtection="1">
      <alignment horizontal="right"/>
      <protection hidden="1"/>
    </xf>
    <xf numFmtId="0" fontId="8" fillId="0" borderId="57" xfId="0" applyFont="1" applyBorder="1" applyAlignment="1" applyProtection="1">
      <alignment horizontal="right"/>
      <protection hidden="1"/>
    </xf>
    <xf numFmtId="165" fontId="1" fillId="7" borderId="0" xfId="0" applyNumberFormat="1" applyFont="1" applyFill="1" applyAlignment="1" applyProtection="1">
      <alignment horizontal="left" vertical="top" wrapText="1"/>
      <protection locked="0"/>
    </xf>
    <xf numFmtId="0" fontId="8" fillId="0" borderId="0" xfId="0" applyFont="1" applyAlignment="1">
      <alignment horizontal="center" vertical="center"/>
    </xf>
    <xf numFmtId="0" fontId="0" fillId="0" borderId="0" xfId="0" applyAlignment="1">
      <alignment horizontal="center" vertical="center"/>
    </xf>
    <xf numFmtId="165" fontId="30" fillId="7" borderId="0" xfId="0" applyNumberFormat="1" applyFont="1" applyFill="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14" fontId="31" fillId="7" borderId="0" xfId="0" applyNumberFormat="1" applyFont="1" applyFill="1" applyAlignment="1" applyProtection="1">
      <alignment horizontal="right" vertical="center"/>
      <protection locked="0"/>
    </xf>
    <xf numFmtId="14" fontId="31" fillId="7" borderId="2" xfId="0" applyNumberFormat="1" applyFont="1" applyFill="1" applyBorder="1" applyAlignment="1" applyProtection="1">
      <alignment horizontal="right" vertical="center"/>
      <protection locked="0"/>
    </xf>
    <xf numFmtId="0" fontId="2" fillId="0" borderId="10" xfId="0" applyFont="1" applyBorder="1" applyAlignment="1">
      <alignment horizontal="left"/>
    </xf>
    <xf numFmtId="0" fontId="2" fillId="0" borderId="0" xfId="0" applyFont="1" applyAlignment="1">
      <alignment horizontal="left"/>
    </xf>
    <xf numFmtId="0" fontId="6" fillId="0" borderId="0" xfId="0" applyFont="1" applyAlignment="1">
      <alignment horizontal="center" vertical="center"/>
    </xf>
    <xf numFmtId="0" fontId="2" fillId="2" borderId="58" xfId="0" applyFont="1" applyFill="1" applyBorder="1" applyAlignment="1">
      <alignment horizontal="center" vertical="center"/>
    </xf>
    <xf numFmtId="0" fontId="8" fillId="2" borderId="55" xfId="0" applyFont="1" applyFill="1" applyBorder="1"/>
    <xf numFmtId="0" fontId="8" fillId="2" borderId="61" xfId="0" applyFont="1" applyFill="1" applyBorder="1"/>
    <xf numFmtId="0" fontId="0" fillId="2" borderId="55" xfId="0" applyFill="1" applyBorder="1"/>
    <xf numFmtId="0" fontId="0" fillId="2" borderId="61" xfId="0" applyFill="1" applyBorder="1"/>
    <xf numFmtId="0" fontId="5" fillId="7" borderId="21" xfId="0" applyFont="1" applyFill="1" applyBorder="1" applyAlignment="1">
      <alignment horizontal="center"/>
    </xf>
    <xf numFmtId="0" fontId="5" fillId="7" borderId="22" xfId="0" applyFont="1" applyFill="1" applyBorder="1" applyAlignment="1">
      <alignment horizontal="center"/>
    </xf>
    <xf numFmtId="0" fontId="5" fillId="7" borderId="29" xfId="0" applyFont="1" applyFill="1" applyBorder="1" applyAlignment="1">
      <alignment horizontal="center"/>
    </xf>
    <xf numFmtId="0" fontId="1" fillId="0" borderId="0" xfId="0" applyFont="1" applyAlignment="1">
      <alignment horizontal="center" vertical="center"/>
    </xf>
    <xf numFmtId="0" fontId="9" fillId="2" borderId="8" xfId="0" applyFont="1" applyFill="1" applyBorder="1" applyAlignment="1">
      <alignment horizontal="center" wrapText="1"/>
    </xf>
    <xf numFmtId="0" fontId="9" fillId="2" borderId="54" xfId="0" applyFont="1" applyFill="1" applyBorder="1" applyAlignment="1">
      <alignment horizontal="center" wrapText="1"/>
    </xf>
    <xf numFmtId="0" fontId="9" fillId="2" borderId="10" xfId="0" applyFont="1" applyFill="1" applyBorder="1" applyAlignment="1">
      <alignment horizontal="center" wrapText="1"/>
    </xf>
    <xf numFmtId="0" fontId="9" fillId="2" borderId="27" xfId="0" applyFont="1" applyFill="1" applyBorder="1" applyAlignment="1">
      <alignment horizontal="center" wrapText="1"/>
    </xf>
    <xf numFmtId="0" fontId="9" fillId="2" borderId="11" xfId="0" applyFont="1" applyFill="1" applyBorder="1" applyAlignment="1">
      <alignment horizontal="center" wrapText="1"/>
    </xf>
    <xf numFmtId="0" fontId="9" fillId="2" borderId="59" xfId="0" applyFont="1" applyFill="1" applyBorder="1" applyAlignment="1">
      <alignment horizontal="center" wrapText="1"/>
    </xf>
    <xf numFmtId="0" fontId="9" fillId="2" borderId="8" xfId="0" applyFont="1" applyFill="1" applyBorder="1" applyAlignment="1">
      <alignment horizontal="left" wrapText="1"/>
    </xf>
    <xf numFmtId="0" fontId="9" fillId="2" borderId="54" xfId="0" applyFont="1" applyFill="1" applyBorder="1" applyAlignment="1">
      <alignment horizontal="left" wrapText="1"/>
    </xf>
    <xf numFmtId="0" fontId="9" fillId="2" borderId="10" xfId="0" applyFont="1" applyFill="1" applyBorder="1" applyAlignment="1">
      <alignment horizontal="left" wrapText="1"/>
    </xf>
    <xf numFmtId="0" fontId="9" fillId="2" borderId="27" xfId="0" applyFont="1" applyFill="1" applyBorder="1" applyAlignment="1">
      <alignment horizontal="left" wrapText="1"/>
    </xf>
    <xf numFmtId="0" fontId="9" fillId="2" borderId="11" xfId="0" applyFont="1" applyFill="1" applyBorder="1" applyAlignment="1">
      <alignment horizontal="left" wrapText="1"/>
    </xf>
    <xf numFmtId="0" fontId="9" fillId="2" borderId="59" xfId="0" applyFont="1" applyFill="1" applyBorder="1" applyAlignment="1">
      <alignment horizontal="left" wrapText="1"/>
    </xf>
    <xf numFmtId="0" fontId="6" fillId="7" borderId="21" xfId="0" applyFont="1" applyFill="1" applyBorder="1" applyAlignment="1">
      <alignment horizontal="center"/>
    </xf>
    <xf numFmtId="0" fontId="6" fillId="7" borderId="22" xfId="0" applyFont="1" applyFill="1" applyBorder="1" applyAlignment="1">
      <alignment horizontal="center"/>
    </xf>
    <xf numFmtId="0" fontId="6" fillId="7" borderId="29" xfId="0" applyFont="1" applyFill="1" applyBorder="1" applyAlignment="1">
      <alignment horizontal="center"/>
    </xf>
    <xf numFmtId="0" fontId="19" fillId="0" borderId="30" xfId="0" applyFont="1" applyBorder="1" applyAlignment="1">
      <alignment horizontal="center" vertical="top" wrapText="1"/>
    </xf>
    <xf numFmtId="0" fontId="0" fillId="0" borderId="31" xfId="0" applyBorder="1" applyAlignment="1">
      <alignment horizontal="center" vertical="top" wrapText="1"/>
    </xf>
    <xf numFmtId="0" fontId="20" fillId="0" borderId="21" xfId="0" applyFont="1" applyBorder="1" applyAlignment="1">
      <alignment horizontal="center" vertical="top" wrapText="1"/>
    </xf>
    <xf numFmtId="0" fontId="20" fillId="0" borderId="22" xfId="0" applyFont="1" applyBorder="1" applyAlignment="1">
      <alignment horizontal="center" vertical="top" wrapText="1"/>
    </xf>
    <xf numFmtId="0" fontId="20" fillId="0" borderId="29" xfId="0" applyFont="1" applyBorder="1" applyAlignment="1">
      <alignment horizontal="center" vertical="top" wrapText="1"/>
    </xf>
    <xf numFmtId="0" fontId="20" fillId="0" borderId="23" xfId="0" applyFont="1" applyBorder="1" applyAlignment="1">
      <alignment horizontal="center" vertical="top" wrapText="1"/>
    </xf>
    <xf numFmtId="0" fontId="20" fillId="0" borderId="24" xfId="0" applyFont="1" applyBorder="1" applyAlignment="1">
      <alignment horizontal="center" vertical="top" wrapText="1"/>
    </xf>
    <xf numFmtId="0" fontId="20" fillId="0" borderId="28" xfId="0" applyFont="1" applyBorder="1" applyAlignment="1">
      <alignment horizontal="center" vertical="top" wrapText="1"/>
    </xf>
    <xf numFmtId="0" fontId="1" fillId="0" borderId="0" xfId="0" applyFont="1" applyAlignment="1">
      <alignment horizontal="center"/>
    </xf>
    <xf numFmtId="0" fontId="0" fillId="0" borderId="0" xfId="0" applyAlignment="1">
      <alignment horizontal="center"/>
    </xf>
    <xf numFmtId="0" fontId="16" fillId="0" borderId="0" xfId="0" applyFont="1" applyAlignment="1">
      <alignment horizontal="center" vertical="top" wrapText="1"/>
    </xf>
    <xf numFmtId="0" fontId="5" fillId="7" borderId="26" xfId="3" applyFont="1" applyFill="1" applyBorder="1" applyAlignment="1">
      <alignment horizontal="center" vertical="center"/>
    </xf>
    <xf numFmtId="0" fontId="5" fillId="7" borderId="0" xfId="3" applyFont="1" applyFill="1" applyAlignment="1">
      <alignment horizontal="center" vertical="center"/>
    </xf>
    <xf numFmtId="0" fontId="5" fillId="7" borderId="27" xfId="3" applyFont="1" applyFill="1" applyBorder="1" applyAlignment="1">
      <alignment horizontal="center" vertical="center"/>
    </xf>
    <xf numFmtId="0" fontId="6" fillId="7" borderId="21" xfId="3" applyFont="1" applyFill="1" applyBorder="1" applyAlignment="1">
      <alignment horizontal="center" vertical="center"/>
    </xf>
    <xf numFmtId="0" fontId="6" fillId="7" borderId="22" xfId="3" applyFont="1" applyFill="1" applyBorder="1" applyAlignment="1">
      <alignment horizontal="center" vertical="center"/>
    </xf>
    <xf numFmtId="0" fontId="6" fillId="7" borderId="29" xfId="3" applyFont="1" applyFill="1" applyBorder="1" applyAlignment="1">
      <alignment horizontal="center" vertical="center"/>
    </xf>
    <xf numFmtId="0" fontId="16" fillId="0" borderId="23" xfId="0" applyFont="1" applyBorder="1" applyAlignment="1">
      <alignment horizontal="center" vertical="top"/>
    </xf>
    <xf numFmtId="0" fontId="1" fillId="0" borderId="28" xfId="0" applyFont="1" applyBorder="1" applyAlignment="1">
      <alignment horizontal="center" vertical="top"/>
    </xf>
    <xf numFmtId="0" fontId="16" fillId="0" borderId="26" xfId="0" applyFont="1" applyBorder="1" applyAlignment="1">
      <alignment horizontal="center" vertical="top" wrapText="1"/>
    </xf>
    <xf numFmtId="0" fontId="1" fillId="0" borderId="27" xfId="0" applyFont="1" applyBorder="1" applyAlignment="1">
      <alignment horizontal="center" vertical="top" wrapText="1"/>
    </xf>
    <xf numFmtId="41" fontId="15" fillId="7" borderId="21" xfId="1" applyFont="1" applyFill="1" applyBorder="1" applyAlignment="1">
      <alignment horizontal="center"/>
    </xf>
    <xf numFmtId="41" fontId="15" fillId="7" borderId="22" xfId="1" applyFont="1" applyFill="1" applyBorder="1" applyAlignment="1">
      <alignment horizontal="center"/>
    </xf>
    <xf numFmtId="41" fontId="15" fillId="7" borderId="29" xfId="1" applyFont="1" applyFill="1" applyBorder="1" applyAlignment="1">
      <alignment horizontal="center"/>
    </xf>
    <xf numFmtId="41" fontId="5" fillId="7" borderId="26" xfId="1" applyFont="1" applyFill="1" applyBorder="1" applyAlignment="1">
      <alignment horizontal="center"/>
    </xf>
    <xf numFmtId="41" fontId="5" fillId="7" borderId="0" xfId="1" applyFont="1" applyFill="1" applyBorder="1" applyAlignment="1">
      <alignment horizontal="center"/>
    </xf>
    <xf numFmtId="41" fontId="5" fillId="7" borderId="27" xfId="1" applyFont="1" applyFill="1" applyBorder="1" applyAlignment="1">
      <alignment horizontal="center"/>
    </xf>
    <xf numFmtId="41" fontId="2" fillId="0" borderId="26" xfId="1" applyFont="1" applyBorder="1" applyAlignment="1">
      <alignment horizontal="center"/>
    </xf>
    <xf numFmtId="41" fontId="2" fillId="0" borderId="0" xfId="1" applyFont="1" applyBorder="1" applyAlignment="1">
      <alignment horizontal="center"/>
    </xf>
    <xf numFmtId="41" fontId="2" fillId="0" borderId="27" xfId="1" applyFont="1" applyBorder="1" applyAlignment="1">
      <alignment horizontal="center"/>
    </xf>
  </cellXfs>
  <cellStyles count="14">
    <cellStyle name="Dezimal [0]" xfId="1" builtinId="6"/>
    <cellStyle name="Dezimal [0] 2" xfId="4" xr:uid="{00000000-0005-0000-0000-000002000000}"/>
    <cellStyle name="Dezimal [0] 2 2" xfId="9" xr:uid="{A1CF883A-79A6-441C-A667-042BDE52BF62}"/>
    <cellStyle name="Dezimal [0] 3" xfId="8" xr:uid="{F79ACE98-1803-4D33-83E3-D678A315C2A5}"/>
    <cellStyle name="Euro" xfId="5" xr:uid="{00000000-0005-0000-0000-000003000000}"/>
    <cellStyle name="Euro 2" xfId="10" xr:uid="{6D14C730-9AEE-4BA0-9CF5-C386BB749DF4}"/>
    <cellStyle name="Komma 2" xfId="7" xr:uid="{305BE99E-9F3D-44BB-AF55-D8E3FC6CC015}"/>
    <cellStyle name="Prozent" xfId="2" builtinId="5"/>
    <cellStyle name="Prozent 2" xfId="11" xr:uid="{F20729BA-8A4D-438A-99CC-0448FAE2372D}"/>
    <cellStyle name="Standard" xfId="0" builtinId="0"/>
    <cellStyle name="Standard 2" xfId="3" xr:uid="{00000000-0005-0000-0000-000006000000}"/>
    <cellStyle name="Standard 2 2" xfId="12" xr:uid="{8880D2C2-ABCE-4CA4-B654-C544065F2516}"/>
    <cellStyle name="Währung" xfId="6" builtinId="4"/>
    <cellStyle name="Währung 2" xfId="13" xr:uid="{40315189-B248-4504-BBB3-7E7CC616A763}"/>
  </cellStyles>
  <dxfs count="0"/>
  <tableStyles count="0" defaultTableStyle="TableStyleMedium9" defaultPivotStyle="PivotStyleLight16"/>
  <colors>
    <mruColors>
      <color rgb="FFFF6600"/>
      <color rgb="FFCC3300"/>
      <color rgb="FFFF825B"/>
      <color rgb="FF000000"/>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28576</xdr:rowOff>
    </xdr:from>
    <xdr:to>
      <xdr:col>5</xdr:col>
      <xdr:colOff>45462</xdr:colOff>
      <xdr:row>1</xdr:row>
      <xdr:rowOff>771526</xdr:rowOff>
    </xdr:to>
    <xdr:pic>
      <xdr:nvPicPr>
        <xdr:cNvPr id="1025" name="Picture 1" descr="LogoKammerBK">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6" y="114301"/>
          <a:ext cx="1874261"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86"/>
  <sheetViews>
    <sheetView showGridLines="0" tabSelected="1" zoomScale="130" zoomScaleNormal="130" workbookViewId="0">
      <selection activeCell="U63" sqref="U63"/>
    </sheetView>
  </sheetViews>
  <sheetFormatPr baseColWidth="10" defaultColWidth="9.109375" defaultRowHeight="13.2" x14ac:dyDescent="0.25"/>
  <cols>
    <col min="1" max="1" width="1.88671875" style="61" customWidth="1"/>
    <col min="2" max="2" width="5.109375" customWidth="1"/>
    <col min="3" max="3" width="6.44140625" customWidth="1"/>
    <col min="4" max="4" width="7.5546875" customWidth="1"/>
    <col min="5" max="5" width="7.88671875" customWidth="1"/>
    <col min="6" max="6" width="9" customWidth="1"/>
    <col min="7" max="7" width="10.109375" customWidth="1"/>
    <col min="8" max="8" width="8.33203125" customWidth="1"/>
    <col min="9" max="9" width="11.88671875" customWidth="1"/>
    <col min="10" max="10" width="1.44140625" customWidth="1"/>
    <col min="11" max="11" width="6.44140625" customWidth="1"/>
    <col min="12" max="12" width="8.109375" customWidth="1"/>
    <col min="13" max="13" width="0.88671875" customWidth="1"/>
    <col min="14" max="14" width="6.44140625" customWidth="1"/>
    <col min="15" max="15" width="8.88671875" customWidth="1"/>
    <col min="16" max="16" width="1.5546875" customWidth="1"/>
    <col min="17" max="17" width="19" hidden="1" customWidth="1"/>
    <col min="18" max="18" width="30" hidden="1" customWidth="1"/>
    <col min="19" max="19" width="3.5546875" customWidth="1"/>
    <col min="20" max="20" width="4.5546875" customWidth="1"/>
    <col min="21" max="21" width="13.44140625" customWidth="1"/>
    <col min="22" max="22" width="7.6640625" customWidth="1"/>
    <col min="23" max="27" width="6.44140625" customWidth="1"/>
    <col min="28" max="28" width="11.109375" customWidth="1"/>
    <col min="29" max="248" width="6.44140625" customWidth="1"/>
  </cols>
  <sheetData>
    <row r="1" spans="2:21" ht="6.75" customHeight="1" x14ac:dyDescent="0.25"/>
    <row r="2" spans="2:21" ht="63" customHeight="1" x14ac:dyDescent="0.25">
      <c r="B2" s="382"/>
      <c r="C2" s="383"/>
      <c r="D2" s="383"/>
      <c r="E2" s="383"/>
      <c r="G2" s="79"/>
      <c r="H2" s="80"/>
      <c r="I2" s="387" t="s">
        <v>90</v>
      </c>
      <c r="J2" s="388"/>
      <c r="K2" s="388"/>
      <c r="L2" s="388"/>
      <c r="M2" s="388"/>
      <c r="N2" s="388"/>
      <c r="O2" s="388"/>
    </row>
    <row r="3" spans="2:21" ht="8.1" customHeight="1" x14ac:dyDescent="0.25"/>
    <row r="4" spans="2:21" x14ac:dyDescent="0.25">
      <c r="B4" s="265" t="s">
        <v>146</v>
      </c>
      <c r="C4" s="266"/>
      <c r="D4" s="266"/>
      <c r="E4" s="266"/>
      <c r="F4" s="266"/>
      <c r="G4" s="266"/>
      <c r="H4" s="266"/>
      <c r="I4" s="266"/>
      <c r="J4" s="266"/>
      <c r="K4" s="266"/>
      <c r="L4" s="266"/>
      <c r="M4" s="266"/>
      <c r="N4" s="266"/>
      <c r="O4" s="267" t="s">
        <v>135</v>
      </c>
    </row>
    <row r="5" spans="2:21" x14ac:dyDescent="0.25">
      <c r="B5" s="265" t="s">
        <v>145</v>
      </c>
      <c r="C5" s="266"/>
      <c r="D5" s="266"/>
      <c r="E5" s="266"/>
      <c r="F5" s="266"/>
      <c r="G5" s="266"/>
      <c r="H5" s="266"/>
      <c r="I5" s="266"/>
      <c r="J5" s="266"/>
      <c r="K5" s="266"/>
      <c r="L5" s="266"/>
      <c r="M5" s="266"/>
      <c r="N5" s="266"/>
      <c r="O5" s="267" t="s">
        <v>134</v>
      </c>
      <c r="U5" s="2" t="s">
        <v>75</v>
      </c>
    </row>
    <row r="6" spans="2:21" ht="12" customHeight="1" x14ac:dyDescent="0.25">
      <c r="B6" s="49" t="s">
        <v>91</v>
      </c>
      <c r="U6" s="2" t="s">
        <v>74</v>
      </c>
    </row>
    <row r="7" spans="2:21" ht="12" customHeight="1" x14ac:dyDescent="0.25">
      <c r="B7" s="49" t="s">
        <v>47</v>
      </c>
    </row>
    <row r="8" spans="2:21" ht="3.75" customHeight="1" x14ac:dyDescent="0.25"/>
    <row r="9" spans="2:21" ht="11.1" customHeight="1" x14ac:dyDescent="0.25">
      <c r="B9" s="7" t="s">
        <v>4</v>
      </c>
      <c r="E9" s="381" t="s">
        <v>87</v>
      </c>
      <c r="F9" s="381"/>
      <c r="G9" s="381"/>
      <c r="H9" s="381"/>
      <c r="I9" s="381"/>
      <c r="J9" s="381"/>
      <c r="K9" s="381"/>
      <c r="L9" s="381"/>
      <c r="M9" s="381"/>
      <c r="N9" s="381"/>
      <c r="O9" s="381"/>
      <c r="T9" s="162"/>
      <c r="U9" s="2" t="s">
        <v>80</v>
      </c>
    </row>
    <row r="10" spans="2:21" ht="11.1" customHeight="1" x14ac:dyDescent="0.25">
      <c r="B10" s="7" t="s">
        <v>3</v>
      </c>
      <c r="E10" s="381"/>
      <c r="F10" s="381"/>
      <c r="G10" s="381"/>
      <c r="H10" s="381"/>
      <c r="I10" s="381"/>
      <c r="J10" s="381"/>
      <c r="K10" s="381"/>
      <c r="L10" s="381"/>
      <c r="M10" s="381"/>
      <c r="N10" s="381"/>
      <c r="O10" s="381"/>
      <c r="T10" s="162"/>
      <c r="U10" s="2" t="s">
        <v>84</v>
      </c>
    </row>
    <row r="11" spans="2:21" ht="3.75" customHeight="1" x14ac:dyDescent="0.25"/>
    <row r="12" spans="2:21" ht="11.1" customHeight="1" x14ac:dyDescent="0.25">
      <c r="B12" s="7" t="s">
        <v>149</v>
      </c>
      <c r="E12" s="381" t="s">
        <v>148</v>
      </c>
      <c r="F12" s="381"/>
      <c r="G12" s="381"/>
      <c r="H12" s="381"/>
      <c r="I12" s="381"/>
      <c r="J12" s="381"/>
      <c r="K12" s="381"/>
      <c r="L12" s="381"/>
      <c r="M12" s="381"/>
      <c r="N12" s="381"/>
      <c r="O12" s="381"/>
      <c r="T12" s="266"/>
      <c r="U12" s="2" t="s">
        <v>81</v>
      </c>
    </row>
    <row r="13" spans="2:21" ht="11.1" customHeight="1" x14ac:dyDescent="0.25">
      <c r="B13" s="7" t="s">
        <v>147</v>
      </c>
      <c r="E13" s="381"/>
      <c r="F13" s="381"/>
      <c r="G13" s="381"/>
      <c r="H13" s="381"/>
      <c r="I13" s="381"/>
      <c r="J13" s="381"/>
      <c r="K13" s="381"/>
      <c r="L13" s="381"/>
      <c r="M13" s="381"/>
      <c r="N13" s="381"/>
      <c r="O13" s="381"/>
      <c r="T13" s="266"/>
      <c r="U13" s="2" t="s">
        <v>85</v>
      </c>
    </row>
    <row r="14" spans="2:21" ht="3" customHeight="1" x14ac:dyDescent="0.25"/>
    <row r="15" spans="2:21" x14ac:dyDescent="0.25">
      <c r="B15" s="24" t="s">
        <v>165</v>
      </c>
      <c r="C15" s="9"/>
      <c r="D15" s="9"/>
      <c r="E15" s="9"/>
      <c r="F15" s="9"/>
      <c r="G15" s="9"/>
      <c r="H15" s="9"/>
      <c r="I15" s="9"/>
      <c r="J15" s="9"/>
      <c r="K15" s="9"/>
      <c r="L15" s="9"/>
      <c r="M15" s="9"/>
      <c r="N15" s="9"/>
      <c r="O15" s="20"/>
    </row>
    <row r="16" spans="2:21" x14ac:dyDescent="0.25">
      <c r="B16" s="385" t="s">
        <v>27</v>
      </c>
      <c r="C16" s="391" t="str">
        <f>IF(B16=""," ",VLOOKUP(B16,Categorie_Kategorien!A6:I13,4))</f>
        <v>Edifici di abitazione mono- e multi-familiare, case a schiera, case rurali, edifici industriali e fabbricati commerciali, nonché gli edifici di cui alla lettera 1b) quando presentino esigenze elevate, edifici di categoria CasaClima A, B, C, risanamenti e ristrutturazioni edilizie di tutti gli edifici alla presente categoria.</v>
      </c>
      <c r="D16" s="392"/>
      <c r="E16" s="392"/>
      <c r="F16" s="392"/>
      <c r="G16" s="392"/>
      <c r="H16" s="392"/>
      <c r="I16" s="392"/>
      <c r="J16" s="392"/>
      <c r="K16" s="392"/>
      <c r="L16" s="392"/>
      <c r="M16" s="392"/>
      <c r="N16" s="392"/>
      <c r="O16" s="19" t="str">
        <f>IF(B16=""," ","……...")</f>
        <v>……...</v>
      </c>
      <c r="T16" s="313"/>
      <c r="U16" s="2" t="s">
        <v>187</v>
      </c>
    </row>
    <row r="17" spans="1:21" x14ac:dyDescent="0.25">
      <c r="B17" s="386"/>
      <c r="C17" s="391" t="str">
        <f>IF(B16=""," ",VLOOKUP(B16,Categorie_Kategorien!A6:I13,9))</f>
        <v xml:space="preserve">Einfamilienhäuser, Mehrfamilienhäuser, Reihenhäuser, landwirtschaftliche Wohngebäude, Industriegebäude und gewerbliche Bauten sowie die unter Buchstabe 1b) genannten Gebäude, wenn sie höhere Anforderungen haben, Gebäude der Klimahaus Kategorie A, B, C,  Sanierungen und bauliche Umgestaltungen aller in dieser Kategorie genannten Gebäude
</v>
      </c>
      <c r="D17" s="392"/>
      <c r="E17" s="392"/>
      <c r="F17" s="392"/>
      <c r="G17" s="392"/>
      <c r="H17" s="392"/>
      <c r="I17" s="392"/>
      <c r="J17" s="392"/>
      <c r="K17" s="392"/>
      <c r="L17" s="392"/>
      <c r="M17" s="392"/>
      <c r="N17" s="392"/>
      <c r="O17" s="19" t="str">
        <f>IF(B16=""," ","……...")</f>
        <v>……...</v>
      </c>
      <c r="T17" s="313"/>
      <c r="U17" s="2" t="s">
        <v>188</v>
      </c>
    </row>
    <row r="18" spans="1:21" ht="3.75" customHeight="1" x14ac:dyDescent="0.25">
      <c r="B18" s="14"/>
      <c r="O18" s="18"/>
    </row>
    <row r="19" spans="1:21" s="83" customFormat="1" ht="12" x14ac:dyDescent="0.25">
      <c r="A19" s="81"/>
      <c r="B19" s="85" t="s">
        <v>6</v>
      </c>
      <c r="G19" s="384">
        <v>1000000</v>
      </c>
      <c r="H19" s="384"/>
      <c r="I19" s="384"/>
      <c r="O19" s="86" t="s">
        <v>7</v>
      </c>
      <c r="U19" s="206"/>
    </row>
    <row r="20" spans="1:21" s="83" customFormat="1" ht="12" x14ac:dyDescent="0.25">
      <c r="A20" s="81"/>
      <c r="B20" s="85" t="s">
        <v>5</v>
      </c>
      <c r="G20" s="384"/>
      <c r="H20" s="384"/>
      <c r="I20" s="384"/>
      <c r="N20" s="389">
        <f ca="1">TODAY()</f>
        <v>45048</v>
      </c>
      <c r="O20" s="390"/>
    </row>
    <row r="21" spans="1:21" ht="4.5" customHeight="1" x14ac:dyDescent="0.25">
      <c r="B21" s="25"/>
      <c r="C21" s="26"/>
      <c r="D21" s="26"/>
      <c r="E21" s="26"/>
      <c r="F21" s="26"/>
      <c r="G21" s="27"/>
      <c r="H21" s="27"/>
      <c r="I21" s="27"/>
      <c r="J21" s="26"/>
      <c r="K21" s="26"/>
      <c r="L21" s="26"/>
      <c r="M21" s="26"/>
      <c r="N21" s="28"/>
      <c r="O21" s="29"/>
    </row>
    <row r="22" spans="1:21" ht="15" customHeight="1" x14ac:dyDescent="0.25">
      <c r="B22" s="15"/>
      <c r="C22" s="2"/>
      <c r="G22" s="188"/>
      <c r="H22" s="188"/>
      <c r="I22" s="199"/>
      <c r="K22" s="316"/>
      <c r="L22" s="317"/>
      <c r="N22" s="189"/>
      <c r="O22" s="190"/>
      <c r="R22" s="158"/>
    </row>
    <row r="23" spans="1:21" ht="9" customHeight="1" x14ac:dyDescent="0.25">
      <c r="B23" s="21"/>
      <c r="C23" s="9"/>
      <c r="D23" s="9"/>
      <c r="E23" s="9"/>
      <c r="F23" s="9"/>
      <c r="G23" s="10"/>
      <c r="H23" s="10"/>
      <c r="I23" s="10"/>
      <c r="J23" s="9"/>
      <c r="K23" s="13"/>
      <c r="L23" s="12" t="s">
        <v>131</v>
      </c>
      <c r="M23" s="17"/>
      <c r="N23" s="11"/>
      <c r="O23" s="88" t="s">
        <v>142</v>
      </c>
    </row>
    <row r="24" spans="1:21" ht="12" customHeight="1" thickBot="1" x14ac:dyDescent="0.3">
      <c r="B24" s="14"/>
      <c r="C24" s="3" t="s">
        <v>24</v>
      </c>
      <c r="G24" s="3" t="s">
        <v>25</v>
      </c>
      <c r="K24" s="16"/>
      <c r="L24" s="78" t="s">
        <v>126</v>
      </c>
      <c r="M24" s="14"/>
      <c r="N24" s="5"/>
      <c r="O24" s="77" t="s">
        <v>132</v>
      </c>
      <c r="Q24" s="161"/>
    </row>
    <row r="25" spans="1:21" s="83" customFormat="1" ht="17.100000000000001" customHeight="1" x14ac:dyDescent="0.25">
      <c r="A25" s="81"/>
      <c r="B25" s="89" t="s">
        <v>11</v>
      </c>
      <c r="C25" s="270" t="s">
        <v>121</v>
      </c>
      <c r="D25" s="270"/>
      <c r="E25" s="270"/>
      <c r="F25" s="270"/>
      <c r="G25" s="270" t="s">
        <v>120</v>
      </c>
      <c r="H25" s="271"/>
      <c r="I25" s="90"/>
      <c r="J25" s="90"/>
      <c r="K25" s="98"/>
      <c r="L25" s="99"/>
      <c r="M25" s="100"/>
      <c r="N25" s="97"/>
      <c r="O25" s="101"/>
    </row>
    <row r="26" spans="1:21" s="43" customFormat="1" ht="10.199999999999999" x14ac:dyDescent="0.2">
      <c r="A26" s="64"/>
      <c r="B26" s="92"/>
      <c r="C26" s="43" t="s">
        <v>166</v>
      </c>
      <c r="H26" s="175">
        <f ca="1">IF(G19="","0",TabA!H39)</f>
        <v>7.5866666666666669</v>
      </c>
      <c r="I26" s="43" t="s">
        <v>8</v>
      </c>
      <c r="K26" s="45"/>
      <c r="L26" s="44"/>
      <c r="M26" s="42"/>
      <c r="O26" s="93"/>
    </row>
    <row r="27" spans="1:21" x14ac:dyDescent="0.25">
      <c r="B27" s="102"/>
      <c r="C27" s="359">
        <f>G19</f>
        <v>1000000</v>
      </c>
      <c r="D27" s="359"/>
      <c r="E27" s="173" t="s">
        <v>88</v>
      </c>
      <c r="F27" s="198">
        <f ca="1">H26</f>
        <v>7.5866666666666669</v>
      </c>
      <c r="G27" s="176" t="s">
        <v>138</v>
      </c>
      <c r="H27" s="236" t="s">
        <v>10</v>
      </c>
      <c r="I27" s="22"/>
      <c r="K27" s="365">
        <f ca="1">IF(G19=""," ",C27*F27/100)</f>
        <v>75866.666666666672</v>
      </c>
      <c r="L27" s="366"/>
      <c r="M27" s="14"/>
      <c r="N27" s="320"/>
      <c r="O27" s="321"/>
      <c r="Q27" s="158">
        <f ca="1">K65</f>
        <v>87246.666666666672</v>
      </c>
    </row>
    <row r="28" spans="1:21" ht="2.25" customHeight="1" x14ac:dyDescent="0.25">
      <c r="B28" s="102"/>
      <c r="K28" s="14"/>
      <c r="M28" s="14"/>
      <c r="N28" s="108"/>
      <c r="O28" s="109"/>
    </row>
    <row r="29" spans="1:21" s="43" customFormat="1" ht="10.5" customHeight="1" x14ac:dyDescent="0.25">
      <c r="A29" s="62"/>
      <c r="B29" s="92"/>
      <c r="C29" s="43" t="s">
        <v>14</v>
      </c>
      <c r="F29" s="44" t="s">
        <v>71</v>
      </c>
      <c r="G29" s="43" t="s">
        <v>15</v>
      </c>
      <c r="K29" s="45"/>
      <c r="L29" s="44"/>
      <c r="M29" s="42"/>
      <c r="N29" s="110"/>
      <c r="O29" s="111"/>
    </row>
    <row r="30" spans="1:21" s="43" customFormat="1" x14ac:dyDescent="0.25">
      <c r="A30" s="62"/>
      <c r="B30" s="92"/>
      <c r="C30" s="133" t="s">
        <v>175</v>
      </c>
      <c r="D30" s="137"/>
      <c r="E30" s="137"/>
      <c r="F30" s="138"/>
      <c r="G30" s="135" t="s">
        <v>92</v>
      </c>
      <c r="H30" s="137"/>
      <c r="I30" s="137"/>
      <c r="J30" s="139"/>
      <c r="K30" s="369">
        <f ca="1">SUM(K31)</f>
        <v>1517.3333333333335</v>
      </c>
      <c r="L30" s="370"/>
      <c r="M30" s="145"/>
      <c r="N30" s="327">
        <f ca="1">IF(G19=""," ",SUM(N31:O31))</f>
        <v>1649.7965333333336</v>
      </c>
      <c r="O30" s="328"/>
      <c r="Q30" s="232"/>
    </row>
    <row r="31" spans="1:21" x14ac:dyDescent="0.25">
      <c r="A31" s="63"/>
      <c r="B31" s="312">
        <v>1</v>
      </c>
      <c r="C31" s="193" t="s">
        <v>174</v>
      </c>
      <c r="D31" s="134"/>
      <c r="E31" s="134"/>
      <c r="F31" s="253">
        <f>IF(B31=0,"",IF(RIGHT($B$16)="e",TabB!D10,TabB!C10))</f>
        <v>0.02</v>
      </c>
      <c r="G31" s="194" t="s">
        <v>93</v>
      </c>
      <c r="H31" s="134"/>
      <c r="I31" s="134"/>
      <c r="J31" s="136"/>
      <c r="K31" s="367">
        <f ca="1">IF(B31=1,C$27*F$27*F31/100,"")</f>
        <v>1517.3333333333335</v>
      </c>
      <c r="L31" s="368"/>
      <c r="M31" s="147"/>
      <c r="N31" s="329">
        <f ca="1">IF(B31=1,R31," ")</f>
        <v>1649.7965333333336</v>
      </c>
      <c r="O31" s="330"/>
      <c r="Q31" s="232">
        <f ca="1">IF(K31="",0,K31/Q$27)</f>
        <v>1.7391304347826087E-2</v>
      </c>
      <c r="R31" s="158">
        <f ca="1">IF(K31="",0,K31)+K$70*Q31</f>
        <v>1649.7965333333336</v>
      </c>
    </row>
    <row r="32" spans="1:21" ht="3.75" customHeight="1" x14ac:dyDescent="0.25">
      <c r="A32" s="63"/>
      <c r="B32" s="307"/>
      <c r="C32" s="6"/>
      <c r="F32" s="168"/>
      <c r="G32" s="6"/>
      <c r="I32" s="26"/>
      <c r="J32" s="26"/>
      <c r="K32" s="169"/>
      <c r="L32" s="170"/>
      <c r="M32" s="26"/>
      <c r="N32" s="155"/>
      <c r="O32" s="150"/>
      <c r="Q32" s="232"/>
      <c r="R32" s="32"/>
    </row>
    <row r="33" spans="1:23" s="43" customFormat="1" x14ac:dyDescent="0.25">
      <c r="A33" s="62"/>
      <c r="B33" s="92"/>
      <c r="C33" s="133" t="s">
        <v>78</v>
      </c>
      <c r="D33" s="137"/>
      <c r="E33" s="137"/>
      <c r="F33" s="254"/>
      <c r="G33" s="135" t="s">
        <v>48</v>
      </c>
      <c r="H33" s="137"/>
      <c r="I33" s="137"/>
      <c r="J33" s="139"/>
      <c r="K33" s="369">
        <f ca="1">SUM(K34:L35)</f>
        <v>9104.0000000000018</v>
      </c>
      <c r="L33" s="370"/>
      <c r="M33" s="145"/>
      <c r="N33" s="327">
        <f ca="1">IF(G19=""," ",SUM(N34:O35))</f>
        <v>9898.7792000000027</v>
      </c>
      <c r="O33" s="328"/>
      <c r="Q33" s="232"/>
      <c r="R33" s="205"/>
    </row>
    <row r="34" spans="1:23" x14ac:dyDescent="0.25">
      <c r="A34" s="63"/>
      <c r="B34" s="312">
        <v>1</v>
      </c>
      <c r="C34" s="130" t="s">
        <v>103</v>
      </c>
      <c r="D34" s="131"/>
      <c r="E34" s="131"/>
      <c r="F34" s="255">
        <f>IF(B34=0,"",IF(RIGHT($B$16)="e",TabB!D11,TabB!C11))</f>
        <v>0.1</v>
      </c>
      <c r="G34" s="132" t="s">
        <v>94</v>
      </c>
      <c r="H34" s="131"/>
      <c r="I34" s="131"/>
      <c r="J34" s="131"/>
      <c r="K34" s="367">
        <f ca="1">IF(B34=1,B34*C$27*F$27*F34/100,"")</f>
        <v>7586.6666666666679</v>
      </c>
      <c r="L34" s="368"/>
      <c r="M34" s="144"/>
      <c r="N34" s="322">
        <f ca="1">IF(B34=1,R34," ")</f>
        <v>8248.9826666666686</v>
      </c>
      <c r="O34" s="323"/>
      <c r="Q34" s="232">
        <f ca="1">IF(K34="",0,K34/Q$27)</f>
        <v>8.6956521739130446E-2</v>
      </c>
      <c r="R34" s="158">
        <f ca="1">IF(K34="",0,K34)+K$70*Q34</f>
        <v>8248.9826666666686</v>
      </c>
      <c r="U34" s="314"/>
    </row>
    <row r="35" spans="1:23" x14ac:dyDescent="0.25">
      <c r="A35" s="63"/>
      <c r="B35" s="312">
        <v>1</v>
      </c>
      <c r="C35" s="140" t="s">
        <v>104</v>
      </c>
      <c r="D35" s="141"/>
      <c r="E35" s="141"/>
      <c r="F35" s="256">
        <f>IF(B35=0,"",IF(RIGHT($B$16)="e",TabB!D12,TabB!C12))</f>
        <v>0.02</v>
      </c>
      <c r="G35" s="142" t="s">
        <v>98</v>
      </c>
      <c r="H35" s="141"/>
      <c r="I35" s="141"/>
      <c r="J35" s="46"/>
      <c r="K35" s="367">
        <f ca="1">IF(B35=1,B35*C$27*F$27*F35/100,"")</f>
        <v>1517.3333333333335</v>
      </c>
      <c r="L35" s="368"/>
      <c r="M35" s="47"/>
      <c r="N35" s="324">
        <f ca="1">IF(B35=1,R35," ")</f>
        <v>1649.7965333333336</v>
      </c>
      <c r="O35" s="325"/>
      <c r="Q35" s="232">
        <f ca="1">IF(K35="",0,K35/Q$27)</f>
        <v>1.7391304347826087E-2</v>
      </c>
      <c r="R35" s="158">
        <f ca="1">IF(K35="",0,K35)+K$70*Q35</f>
        <v>1649.7965333333336</v>
      </c>
    </row>
    <row r="36" spans="1:23" ht="3.75" customHeight="1" x14ac:dyDescent="0.25">
      <c r="A36" s="63"/>
      <c r="B36" s="307"/>
      <c r="C36" s="6"/>
      <c r="F36" s="257"/>
      <c r="G36" s="6"/>
      <c r="I36" s="26"/>
      <c r="J36" s="134"/>
      <c r="K36" s="169"/>
      <c r="L36" s="170"/>
      <c r="M36" s="134"/>
      <c r="N36" s="155"/>
      <c r="O36" s="150"/>
      <c r="Q36" s="232"/>
      <c r="R36" s="32"/>
    </row>
    <row r="37" spans="1:23" x14ac:dyDescent="0.25">
      <c r="A37" s="63"/>
      <c r="B37" s="308"/>
      <c r="C37" s="133" t="s">
        <v>152</v>
      </c>
      <c r="D37" s="134"/>
      <c r="E37" s="134"/>
      <c r="F37" s="253"/>
      <c r="G37" s="135" t="s">
        <v>151</v>
      </c>
      <c r="H37" s="134"/>
      <c r="I37" s="134"/>
      <c r="J37" s="136"/>
      <c r="K37" s="369">
        <f ca="1">SUM(K38:L39)</f>
        <v>15932</v>
      </c>
      <c r="L37" s="370"/>
      <c r="M37" s="147"/>
      <c r="N37" s="327">
        <f ca="1">IF(G19=""," ",SUM(N38:O40))</f>
        <v>17322.863600000001</v>
      </c>
      <c r="O37" s="328"/>
      <c r="Q37" s="232"/>
      <c r="R37" s="205"/>
      <c r="W37" s="60"/>
    </row>
    <row r="38" spans="1:23" x14ac:dyDescent="0.25">
      <c r="A38" s="63"/>
      <c r="B38" s="312">
        <v>1</v>
      </c>
      <c r="C38" s="187" t="s">
        <v>105</v>
      </c>
      <c r="D38" s="191"/>
      <c r="E38" s="191"/>
      <c r="F38" s="258">
        <f>IF(B38=0,"",IF(RIGHT($B$16)="e",TabB!D13,TabB!C13))</f>
        <v>0.18</v>
      </c>
      <c r="G38" s="192" t="s">
        <v>95</v>
      </c>
      <c r="H38" s="191"/>
      <c r="I38" s="46"/>
      <c r="J38" s="46"/>
      <c r="K38" s="367">
        <f ca="1">IF(B38=1,B38*C$27*F$27*F38/100,"")</f>
        <v>13656</v>
      </c>
      <c r="L38" s="368"/>
      <c r="M38" s="17"/>
      <c r="N38" s="331">
        <f ca="1">IF(B38=1,R38," ")</f>
        <v>14848.168799999999</v>
      </c>
      <c r="O38" s="332"/>
      <c r="Q38" s="232">
        <f ca="1">IF(K38="",0,K38/Q$27)</f>
        <v>0.15652173913043477</v>
      </c>
      <c r="R38" s="158">
        <f ca="1">IF(K38="",0,K38)+K$70*Q38</f>
        <v>14848.168799999999</v>
      </c>
    </row>
    <row r="39" spans="1:23" x14ac:dyDescent="0.25">
      <c r="A39" s="63"/>
      <c r="B39" s="312">
        <v>1</v>
      </c>
      <c r="C39" s="140" t="s">
        <v>106</v>
      </c>
      <c r="D39" s="26"/>
      <c r="E39" s="26"/>
      <c r="F39" s="259">
        <f>IF(B39=0,"",IF(RIGHT($B$16)="e",TabB!D14,TabB!C14))</f>
        <v>0.03</v>
      </c>
      <c r="G39" s="142" t="s">
        <v>97</v>
      </c>
      <c r="H39" s="26"/>
      <c r="I39" s="46"/>
      <c r="J39" s="46"/>
      <c r="K39" s="367">
        <f ca="1">IF(B39=1,B39*C$27*F$27*F39/100,"")</f>
        <v>2276</v>
      </c>
      <c r="L39" s="368"/>
      <c r="M39" s="195"/>
      <c r="N39" s="324">
        <f ca="1">IF(B39=1,R39," ")</f>
        <v>2474.6948000000002</v>
      </c>
      <c r="O39" s="326"/>
      <c r="Q39" s="232">
        <f ca="1">IF(K39="",0,K39/Q$27)</f>
        <v>2.6086956521739129E-2</v>
      </c>
      <c r="R39" s="158">
        <f ca="1">IF(K39="",0,K39)+K$70*Q39</f>
        <v>2474.6948000000002</v>
      </c>
    </row>
    <row r="40" spans="1:23" ht="3.75" customHeight="1" x14ac:dyDescent="0.25">
      <c r="A40" s="63"/>
      <c r="B40" s="307"/>
      <c r="C40" s="6"/>
      <c r="F40" s="257"/>
      <c r="G40" s="6"/>
      <c r="I40" s="134"/>
      <c r="J40" s="134"/>
      <c r="K40" s="169"/>
      <c r="L40" s="170"/>
      <c r="M40" s="134"/>
      <c r="N40" s="155"/>
      <c r="O40" s="150"/>
      <c r="Q40" s="232"/>
      <c r="R40" s="32"/>
    </row>
    <row r="41" spans="1:23" x14ac:dyDescent="0.25">
      <c r="A41" s="63"/>
      <c r="B41" s="308"/>
      <c r="C41" s="133" t="s">
        <v>82</v>
      </c>
      <c r="D41" s="134"/>
      <c r="E41" s="134"/>
      <c r="F41" s="253"/>
      <c r="G41" s="135" t="s">
        <v>76</v>
      </c>
      <c r="H41" s="134"/>
      <c r="I41" s="134"/>
      <c r="J41" s="136"/>
      <c r="K41" s="369">
        <f ca="1">SUM(K42:L44)</f>
        <v>23518.666666666672</v>
      </c>
      <c r="L41" s="370"/>
      <c r="M41" s="147"/>
      <c r="N41" s="327">
        <f ca="1">IF(G19=""," ",SUM(N42:O43))</f>
        <v>25571.846266666671</v>
      </c>
      <c r="O41" s="328"/>
      <c r="Q41" s="232"/>
      <c r="R41" s="32"/>
      <c r="W41" s="60"/>
    </row>
    <row r="42" spans="1:23" x14ac:dyDescent="0.25">
      <c r="A42" s="63"/>
      <c r="B42" s="312">
        <v>1</v>
      </c>
      <c r="C42" s="130" t="s">
        <v>108</v>
      </c>
      <c r="D42" s="131"/>
      <c r="E42" s="131"/>
      <c r="F42" s="255">
        <f>IF(B42=0,"",IF(RIGHT($B$16)="e",TabB!D15,TabB!C15))</f>
        <v>0.27</v>
      </c>
      <c r="G42" s="132" t="s">
        <v>107</v>
      </c>
      <c r="H42" s="131"/>
      <c r="I42" s="131"/>
      <c r="J42" s="131"/>
      <c r="K42" s="367">
        <f ca="1">IF(B42=1,B42*C$27*F$27*F42/100,"")</f>
        <v>20484.000000000004</v>
      </c>
      <c r="L42" s="368"/>
      <c r="M42" s="144"/>
      <c r="N42" s="379">
        <f ca="1">IF(B42=1,R42," ")</f>
        <v>22272.253200000003</v>
      </c>
      <c r="O42" s="380"/>
      <c r="Q42" s="232">
        <f ca="1">IF(K42="",0,K42/Q$27)</f>
        <v>0.23478260869565221</v>
      </c>
      <c r="R42" s="158">
        <f ca="1">IF(K42="",0,K42)+K$70*Q42</f>
        <v>22272.253200000003</v>
      </c>
      <c r="U42" s="32"/>
    </row>
    <row r="43" spans="1:23" x14ac:dyDescent="0.25">
      <c r="A43" s="63"/>
      <c r="B43" s="312">
        <v>1</v>
      </c>
      <c r="C43" s="140" t="s">
        <v>176</v>
      </c>
      <c r="D43" s="141"/>
      <c r="E43" s="151"/>
      <c r="F43" s="260">
        <f>IF(B43=0,"",IF(RIGHT($B$16)="e",TabB!D16,TabB!C16))</f>
        <v>0.04</v>
      </c>
      <c r="G43" s="142" t="s">
        <v>96</v>
      </c>
      <c r="H43" s="151"/>
      <c r="I43" s="151"/>
      <c r="J43" s="46"/>
      <c r="K43" s="367">
        <f ca="1">IF(B43=1,B43*C$27*F$27*F43/100,"")</f>
        <v>3034.666666666667</v>
      </c>
      <c r="L43" s="368"/>
      <c r="M43" s="47"/>
      <c r="N43" s="324">
        <f ca="1">IF(B43=1,R43," ")</f>
        <v>3299.5930666666673</v>
      </c>
      <c r="O43" s="325"/>
      <c r="Q43" s="232">
        <f ca="1">IF(K43="",0,K43/Q$27)</f>
        <v>3.4782608695652174E-2</v>
      </c>
      <c r="R43" s="158">
        <f ca="1">IF(K43="",0,K43)+K$70*Q43</f>
        <v>3299.5930666666673</v>
      </c>
    </row>
    <row r="44" spans="1:23" ht="3.75" customHeight="1" x14ac:dyDescent="0.25">
      <c r="A44" s="63"/>
      <c r="B44" s="307"/>
      <c r="C44" s="6"/>
      <c r="E44" s="134"/>
      <c r="F44" s="253"/>
      <c r="G44" s="6"/>
      <c r="H44" s="134"/>
      <c r="I44" s="134"/>
      <c r="J44" s="134"/>
      <c r="K44" s="169"/>
      <c r="L44" s="170"/>
      <c r="M44" s="134"/>
      <c r="N44" s="155"/>
      <c r="O44" s="150"/>
      <c r="Q44" s="232"/>
      <c r="R44" s="32"/>
    </row>
    <row r="45" spans="1:23" x14ac:dyDescent="0.25">
      <c r="A45" s="63"/>
      <c r="B45" s="308"/>
      <c r="C45" s="135" t="s">
        <v>83</v>
      </c>
      <c r="D45" s="134"/>
      <c r="E45" s="134"/>
      <c r="F45" s="253"/>
      <c r="G45" s="135" t="s">
        <v>49</v>
      </c>
      <c r="H45" s="134"/>
      <c r="I45" s="26"/>
      <c r="J45" s="152"/>
      <c r="K45" s="373">
        <f ca="1">SUM(K46:L47)</f>
        <v>25794.666666666668</v>
      </c>
      <c r="L45" s="374"/>
      <c r="M45" s="153"/>
      <c r="N45" s="327">
        <f ca="1">IF(G19=""," ",SUM(N46:O47))</f>
        <v>28046.541066666672</v>
      </c>
      <c r="O45" s="328"/>
      <c r="Q45" s="232"/>
      <c r="R45" s="32"/>
    </row>
    <row r="46" spans="1:23" x14ac:dyDescent="0.25">
      <c r="A46" s="63"/>
      <c r="B46" s="312">
        <v>1</v>
      </c>
      <c r="C46" s="130" t="s">
        <v>109</v>
      </c>
      <c r="D46" s="131"/>
      <c r="E46" s="131"/>
      <c r="F46" s="255">
        <f>IF(B46=0,"",IF(RIGHT($B$16)="e",TabB!D17,TabB!C17))</f>
        <v>0.32</v>
      </c>
      <c r="G46" s="132" t="s">
        <v>122</v>
      </c>
      <c r="H46" s="131"/>
      <c r="I46" s="131"/>
      <c r="J46" s="131"/>
      <c r="K46" s="367">
        <f ca="1">IF(B46=1,B46*C$27*F$27*F46/100,"")</f>
        <v>24277.333333333336</v>
      </c>
      <c r="L46" s="368"/>
      <c r="M46" s="144"/>
      <c r="N46" s="322">
        <f ca="1">IF(B46=1,R46," ")</f>
        <v>26396.744533333338</v>
      </c>
      <c r="O46" s="323"/>
      <c r="Q46" s="232">
        <f ca="1">IF(K46="",0,K46/Q$27)</f>
        <v>0.27826086956521739</v>
      </c>
      <c r="R46" s="158">
        <f ca="1">IF(K46="",0,K46)+K$70*Q46</f>
        <v>26396.744533333338</v>
      </c>
      <c r="U46" s="32"/>
    </row>
    <row r="47" spans="1:23" x14ac:dyDescent="0.25">
      <c r="A47" s="63"/>
      <c r="B47" s="312">
        <v>1</v>
      </c>
      <c r="C47" s="140" t="s">
        <v>111</v>
      </c>
      <c r="D47" s="141"/>
      <c r="E47" s="141"/>
      <c r="F47" s="256">
        <f>IF(B47=0,"",IF(RIGHT($B$16)="e",TabB!D18,TabB!C18))</f>
        <v>0.02</v>
      </c>
      <c r="G47" s="142" t="s">
        <v>110</v>
      </c>
      <c r="H47" s="141"/>
      <c r="I47" s="141"/>
      <c r="J47" s="143"/>
      <c r="K47" s="367">
        <f ca="1">IF(B47=1,B47*C$27*F$27*F47/100,"")</f>
        <v>1517.3333333333335</v>
      </c>
      <c r="L47" s="368"/>
      <c r="M47" s="146"/>
      <c r="N47" s="377">
        <f ca="1">IF(B47=1,R47," ")</f>
        <v>1649.7965333333336</v>
      </c>
      <c r="O47" s="378"/>
      <c r="Q47" s="232">
        <f ca="1">IF(K47="",0,K47/Q$27)</f>
        <v>1.7391304347826087E-2</v>
      </c>
      <c r="R47" s="158">
        <f ca="1">IF(K47="",0,K47)+K$70*Q47</f>
        <v>1649.7965333333336</v>
      </c>
      <c r="W47" s="60"/>
    </row>
    <row r="48" spans="1:23" ht="3" customHeight="1" x14ac:dyDescent="0.25">
      <c r="A48" s="63"/>
      <c r="B48" s="309"/>
      <c r="F48" s="261"/>
      <c r="K48" s="171"/>
      <c r="L48" s="172"/>
      <c r="M48" s="17"/>
      <c r="N48" s="148"/>
      <c r="O48" s="149"/>
      <c r="Q48" s="232"/>
      <c r="R48" s="32"/>
    </row>
    <row r="49" spans="1:21" x14ac:dyDescent="0.25">
      <c r="B49" s="309"/>
      <c r="C49" s="303" t="s">
        <v>17</v>
      </c>
      <c r="D49" s="304"/>
      <c r="E49" s="304"/>
      <c r="F49" s="305">
        <f>SUM(F31:F48)</f>
        <v>1</v>
      </c>
      <c r="G49" s="303" t="s">
        <v>18</v>
      </c>
      <c r="H49" s="304"/>
      <c r="I49" s="304"/>
      <c r="K49" s="371">
        <f ca="1">K45+K41+K33+K37+K30</f>
        <v>75866.666666666672</v>
      </c>
      <c r="L49" s="372"/>
      <c r="M49" s="14"/>
      <c r="N49" s="375">
        <f ca="1">IF(G19=""," ",N45+N37+N41+N33+N30)</f>
        <v>82489.826666666675</v>
      </c>
      <c r="O49" s="376"/>
      <c r="Q49" s="232"/>
      <c r="R49" s="32"/>
      <c r="U49" s="158"/>
    </row>
    <row r="50" spans="1:21" ht="4.5" customHeight="1" thickBot="1" x14ac:dyDescent="0.3">
      <c r="B50" s="310"/>
      <c r="C50" s="95"/>
      <c r="D50" s="95"/>
      <c r="E50" s="95"/>
      <c r="F50" s="95"/>
      <c r="G50" s="95"/>
      <c r="H50" s="95"/>
      <c r="I50" s="95"/>
      <c r="J50" s="95"/>
      <c r="K50" s="112"/>
      <c r="L50" s="113"/>
      <c r="M50" s="96"/>
      <c r="N50" s="113"/>
      <c r="O50" s="124"/>
      <c r="R50" s="32"/>
    </row>
    <row r="51" spans="1:21" s="82" customFormat="1" ht="12.75" customHeight="1" x14ac:dyDescent="0.25">
      <c r="A51" s="81"/>
      <c r="B51" s="89" t="s">
        <v>12</v>
      </c>
      <c r="C51" s="90" t="s">
        <v>99</v>
      </c>
      <c r="D51" s="90"/>
      <c r="E51" s="333"/>
      <c r="F51" s="333"/>
      <c r="G51" s="90" t="s">
        <v>100</v>
      </c>
      <c r="H51" s="90"/>
      <c r="I51" s="157">
        <f>IF(E51&gt;0,E51,G6)</f>
        <v>0</v>
      </c>
      <c r="J51" s="90"/>
      <c r="K51" s="114"/>
      <c r="L51" s="115"/>
      <c r="M51" s="91"/>
      <c r="N51" s="125"/>
      <c r="O51" s="126"/>
      <c r="R51" s="206"/>
    </row>
    <row r="52" spans="1:21" s="82" customFormat="1" ht="12.6" customHeight="1" x14ac:dyDescent="0.25">
      <c r="A52" s="81"/>
      <c r="B52" s="197"/>
      <c r="C52" s="43" t="s">
        <v>166</v>
      </c>
      <c r="D52" s="43"/>
      <c r="E52" s="43"/>
      <c r="F52" s="43"/>
      <c r="G52" s="43"/>
      <c r="H52" s="175">
        <f ca="1">TabA!H44</f>
        <v>7.5866666666666669</v>
      </c>
      <c r="I52" s="43" t="s">
        <v>8</v>
      </c>
      <c r="K52" s="181"/>
      <c r="L52" s="182"/>
      <c r="M52" s="85"/>
      <c r="N52" s="183"/>
      <c r="O52" s="184"/>
      <c r="R52" s="206"/>
    </row>
    <row r="53" spans="1:21" s="82" customFormat="1" ht="12.75" customHeight="1" x14ac:dyDescent="0.25">
      <c r="A53" s="81"/>
      <c r="B53" s="197"/>
      <c r="C53" s="359">
        <f>IF(E51="",G19,E51)</f>
        <v>1000000</v>
      </c>
      <c r="D53" s="359"/>
      <c r="E53" s="173" t="s">
        <v>88</v>
      </c>
      <c r="F53" s="198">
        <f ca="1">H52</f>
        <v>7.5866666666666669</v>
      </c>
      <c r="G53" s="246" t="s">
        <v>9</v>
      </c>
      <c r="H53" s="262">
        <f>IF(B54=0,"",IF(RIGHT($B$16)="e",TabB!D20,TabB!C20))</f>
        <v>0.12</v>
      </c>
      <c r="I53" s="22" t="s">
        <v>10</v>
      </c>
      <c r="K53" s="354">
        <f ca="1">IF(B54=1,C53*F53*H53/100,"")</f>
        <v>9104</v>
      </c>
      <c r="L53" s="360" t="e">
        <f>E51*#REF!</f>
        <v>#REF!</v>
      </c>
      <c r="M53" s="85"/>
      <c r="N53" s="352">
        <f ca="1">IF(B54=1,R53," ")</f>
        <v>9898.7792000000009</v>
      </c>
      <c r="O53" s="353"/>
      <c r="Q53" s="232">
        <f ca="1">IF(K53="",0,K53/Q$27)</f>
        <v>0.10434782608695652</v>
      </c>
      <c r="R53" s="158">
        <f ca="1">IF(K53="",0,K53)+K$70*Q53</f>
        <v>9898.7792000000009</v>
      </c>
      <c r="U53" s="5"/>
    </row>
    <row r="54" spans="1:21" s="82" customFormat="1" ht="15" customHeight="1" x14ac:dyDescent="0.25">
      <c r="A54" s="63"/>
      <c r="B54" s="312">
        <v>1</v>
      </c>
      <c r="C54" s="233" t="s">
        <v>183</v>
      </c>
      <c r="D54" s="83"/>
      <c r="E54" s="83"/>
      <c r="F54" s="234"/>
      <c r="G54" s="233" t="s">
        <v>137</v>
      </c>
      <c r="H54" s="83"/>
      <c r="I54" s="83"/>
      <c r="J54" s="18"/>
      <c r="K54" s="354"/>
      <c r="L54" s="355"/>
      <c r="M54" s="85"/>
      <c r="N54" s="183"/>
      <c r="O54" s="184"/>
      <c r="R54" s="206"/>
      <c r="U54" s="5"/>
    </row>
    <row r="55" spans="1:21" s="82" customFormat="1" ht="4.3499999999999996" customHeight="1" x14ac:dyDescent="0.25">
      <c r="A55" s="81"/>
      <c r="B55" s="309"/>
      <c r="C55" s="359"/>
      <c r="D55" s="359"/>
      <c r="E55" s="173"/>
      <c r="F55" s="235"/>
      <c r="G55" s="22"/>
      <c r="H55" s="180"/>
      <c r="I55" s="22"/>
      <c r="J55"/>
      <c r="K55" s="181"/>
      <c r="L55" s="182"/>
      <c r="M55" s="85"/>
      <c r="N55" s="183"/>
      <c r="O55" s="184"/>
      <c r="R55" s="206"/>
      <c r="U55" s="5"/>
    </row>
    <row r="56" spans="1:21" s="5" customFormat="1" ht="13.8" thickBot="1" x14ac:dyDescent="0.3">
      <c r="A56" s="63"/>
      <c r="B56" s="311"/>
      <c r="C56" s="104" t="s">
        <v>102</v>
      </c>
      <c r="D56" s="103"/>
      <c r="E56" s="103"/>
      <c r="F56" s="103"/>
      <c r="G56" s="104" t="s">
        <v>101</v>
      </c>
      <c r="H56" s="103"/>
      <c r="I56" s="103"/>
      <c r="J56" s="105"/>
      <c r="K56" s="341">
        <f ca="1">SUM(K53)</f>
        <v>9104</v>
      </c>
      <c r="L56" s="342"/>
      <c r="M56" s="106"/>
      <c r="N56" s="318">
        <f ca="1">SUM(N53)</f>
        <v>9898.7792000000009</v>
      </c>
      <c r="O56" s="319"/>
      <c r="Q56" s="232"/>
      <c r="R56" s="8"/>
      <c r="S56" s="8"/>
      <c r="T56" s="8"/>
    </row>
    <row r="57" spans="1:21" s="82" customFormat="1" ht="12.75" customHeight="1" x14ac:dyDescent="0.25">
      <c r="A57" s="81"/>
      <c r="B57" s="89" t="s">
        <v>77</v>
      </c>
      <c r="C57" s="90" t="s">
        <v>179</v>
      </c>
      <c r="D57" s="90"/>
      <c r="E57" s="333"/>
      <c r="F57" s="333"/>
      <c r="G57" s="90" t="s">
        <v>19</v>
      </c>
      <c r="H57" s="90"/>
      <c r="I57" s="157">
        <f>IF(E57&gt;0,E57,G19)</f>
        <v>1000000</v>
      </c>
      <c r="J57" s="90"/>
      <c r="K57" s="114"/>
      <c r="L57" s="115"/>
      <c r="M57" s="91"/>
      <c r="N57" s="125"/>
      <c r="O57" s="126"/>
      <c r="R57" s="206"/>
      <c r="U57" s="5"/>
    </row>
    <row r="58" spans="1:21" s="82" customFormat="1" ht="12.6" customHeight="1" x14ac:dyDescent="0.25">
      <c r="A58" s="81"/>
      <c r="B58" s="197"/>
      <c r="C58" s="43" t="s">
        <v>130</v>
      </c>
      <c r="D58" s="43"/>
      <c r="E58" s="43"/>
      <c r="F58" s="43"/>
      <c r="G58" s="43"/>
      <c r="H58" s="175">
        <f ca="1">TabA!H49</f>
        <v>7.5866666666666669</v>
      </c>
      <c r="I58" s="43" t="s">
        <v>8</v>
      </c>
      <c r="K58" s="181"/>
      <c r="L58" s="182"/>
      <c r="M58" s="85"/>
      <c r="N58" s="183"/>
      <c r="O58" s="184"/>
      <c r="R58" s="206"/>
      <c r="U58" s="5"/>
    </row>
    <row r="59" spans="1:21" s="82" customFormat="1" ht="12.75" customHeight="1" x14ac:dyDescent="0.25">
      <c r="A59" s="81"/>
      <c r="B59" s="197"/>
      <c r="C59" s="359">
        <f>IF(E57="",G19,E57)</f>
        <v>1000000</v>
      </c>
      <c r="D59" s="359"/>
      <c r="E59" s="173" t="s">
        <v>88</v>
      </c>
      <c r="F59" s="198">
        <f ca="1">H58</f>
        <v>7.5866666666666669</v>
      </c>
      <c r="G59" s="176" t="s">
        <v>125</v>
      </c>
      <c r="H59" s="262">
        <f>IF(B60=0,"",IF(LEFT(D60,3)="CON",IF(RIGHT($B$16)="e",TabB!D21,TabB!C21),IF(RIGHT($B$16)="e",TabB!D22,TabB!C22)))</f>
        <v>0.03</v>
      </c>
      <c r="I59" s="22" t="s">
        <v>10</v>
      </c>
      <c r="K59" s="181"/>
      <c r="L59" s="182"/>
      <c r="M59" s="85"/>
      <c r="N59" s="183"/>
      <c r="O59" s="184"/>
      <c r="R59" s="206"/>
      <c r="U59" s="5"/>
    </row>
    <row r="60" spans="1:21" s="82" customFormat="1" ht="12.75" customHeight="1" x14ac:dyDescent="0.25">
      <c r="A60" s="81"/>
      <c r="B60" s="312">
        <v>1</v>
      </c>
      <c r="C60" s="83"/>
      <c r="D60" s="356" t="s">
        <v>180</v>
      </c>
      <c r="E60" s="357"/>
      <c r="F60" s="357"/>
      <c r="G60" s="357"/>
      <c r="H60" s="358"/>
      <c r="I60" s="81"/>
      <c r="K60" s="354">
        <f ca="1">IF(B60=1,C59*F59*H59/100,"")</f>
        <v>2276</v>
      </c>
      <c r="L60" s="355"/>
      <c r="M60" s="85"/>
      <c r="N60" s="352">
        <f ca="1">IF(B60=1,R60," ")</f>
        <v>2474.6948000000002</v>
      </c>
      <c r="O60" s="353"/>
      <c r="Q60" s="232">
        <f ca="1">IF(K60="",0,K60/Q$27)</f>
        <v>2.6086956521739129E-2</v>
      </c>
      <c r="R60" s="158">
        <f ca="1">IF(K60="",0,K60)+K$70*Q60</f>
        <v>2474.6948000000002</v>
      </c>
      <c r="U60" s="5"/>
    </row>
    <row r="61" spans="1:21" s="82" customFormat="1" ht="5.0999999999999996" customHeight="1" x14ac:dyDescent="0.25">
      <c r="A61" s="81"/>
      <c r="B61" s="309"/>
      <c r="C61" s="361"/>
      <c r="D61" s="361"/>
      <c r="E61" s="361"/>
      <c r="F61" s="361"/>
      <c r="G61" s="237"/>
      <c r="H61" s="361"/>
      <c r="I61" s="361"/>
      <c r="J61" s="185"/>
      <c r="K61" s="116"/>
      <c r="L61" s="117"/>
      <c r="M61" s="14"/>
      <c r="N61" s="108"/>
      <c r="O61" s="109"/>
      <c r="R61" s="206"/>
      <c r="U61" s="5"/>
    </row>
    <row r="62" spans="1:21" ht="5.4" customHeight="1" x14ac:dyDescent="0.25">
      <c r="B62" s="309"/>
      <c r="C62" s="185"/>
      <c r="D62" s="185"/>
      <c r="E62" s="185"/>
      <c r="F62" s="185"/>
      <c r="G62" s="186"/>
      <c r="H62" s="362"/>
      <c r="I62" s="362"/>
      <c r="J62" s="185"/>
      <c r="K62" s="116"/>
      <c r="L62" s="117"/>
      <c r="M62" s="14"/>
      <c r="N62" s="108"/>
      <c r="O62" s="109"/>
    </row>
    <row r="63" spans="1:21" s="5" customFormat="1" ht="13.8" thickBot="1" x14ac:dyDescent="0.3">
      <c r="A63" s="63"/>
      <c r="B63" s="196"/>
      <c r="C63" s="104" t="s">
        <v>72</v>
      </c>
      <c r="D63" s="103"/>
      <c r="E63" s="103"/>
      <c r="F63" s="103"/>
      <c r="G63" s="104" t="s">
        <v>73</v>
      </c>
      <c r="H63" s="103"/>
      <c r="I63" s="103"/>
      <c r="J63" s="105"/>
      <c r="K63" s="341">
        <f ca="1">SUM(K60)</f>
        <v>2276</v>
      </c>
      <c r="L63" s="342"/>
      <c r="M63" s="106"/>
      <c r="N63" s="318">
        <f ca="1">SUM(N60)</f>
        <v>2474.6948000000002</v>
      </c>
      <c r="O63" s="319"/>
      <c r="Q63" s="232"/>
      <c r="R63" s="8"/>
      <c r="S63" s="8"/>
      <c r="T63" s="8"/>
    </row>
    <row r="64" spans="1:21" s="82" customFormat="1" ht="12" x14ac:dyDescent="0.25">
      <c r="A64" s="81"/>
      <c r="B64" s="89" t="s">
        <v>79</v>
      </c>
      <c r="C64" s="90" t="s">
        <v>20</v>
      </c>
      <c r="D64" s="90"/>
      <c r="E64" s="90"/>
      <c r="F64" s="90"/>
      <c r="G64" s="90" t="s">
        <v>21</v>
      </c>
      <c r="H64" s="90"/>
      <c r="I64" s="90"/>
      <c r="J64" s="90"/>
      <c r="K64" s="114"/>
      <c r="L64" s="115"/>
      <c r="M64" s="91"/>
      <c r="N64" s="125"/>
      <c r="O64" s="126"/>
      <c r="P64" s="82" t="s">
        <v>23</v>
      </c>
    </row>
    <row r="65" spans="1:21" x14ac:dyDescent="0.25">
      <c r="A65" s="65"/>
      <c r="B65" s="102"/>
      <c r="C65" s="43" t="s">
        <v>118</v>
      </c>
      <c r="D65" s="43"/>
      <c r="E65" s="44"/>
      <c r="F65" s="201"/>
      <c r="G65" s="43" t="s">
        <v>119</v>
      </c>
      <c r="H65" s="43"/>
      <c r="K65" s="363">
        <f ca="1">IF(G19="","",K63+K56+K49)</f>
        <v>87246.666666666672</v>
      </c>
      <c r="L65" s="364"/>
      <c r="M65" s="14"/>
      <c r="N65" s="352"/>
      <c r="O65" s="353"/>
      <c r="P65" s="8" t="s">
        <v>23</v>
      </c>
      <c r="Q65" s="232">
        <f ca="1">SUM(Q31:Q60)</f>
        <v>0.99999999999999989</v>
      </c>
      <c r="R65" s="8"/>
      <c r="S65" s="8"/>
      <c r="T65" s="8"/>
    </row>
    <row r="66" spans="1:21" ht="3.75" customHeight="1" x14ac:dyDescent="0.25">
      <c r="B66" s="102"/>
      <c r="K66" s="118"/>
      <c r="L66" s="119"/>
      <c r="M66" s="14"/>
      <c r="N66" s="108"/>
      <c r="O66" s="109"/>
    </row>
    <row r="67" spans="1:21" s="5" customFormat="1" ht="11.25" customHeight="1" x14ac:dyDescent="0.25">
      <c r="A67" s="61"/>
      <c r="B67" s="107"/>
      <c r="C67" s="5" t="s">
        <v>86</v>
      </c>
      <c r="F67" s="343">
        <f>IF(G19=""," ",VLOOKUP(G19,TabS!C9:D52,2))</f>
        <v>8.7300000000000003E-2</v>
      </c>
      <c r="I67" s="78"/>
      <c r="K67" s="156"/>
      <c r="L67" s="119"/>
      <c r="M67" s="16"/>
      <c r="N67" s="127"/>
      <c r="O67" s="128"/>
      <c r="P67" s="160"/>
    </row>
    <row r="68" spans="1:21" s="5" customFormat="1" ht="11.25" customHeight="1" x14ac:dyDescent="0.25">
      <c r="A68" s="63"/>
      <c r="B68" s="107"/>
      <c r="C68" s="5" t="s">
        <v>22</v>
      </c>
      <c r="F68" s="343"/>
      <c r="I68" s="78"/>
      <c r="K68" s="156"/>
      <c r="L68" s="119"/>
      <c r="M68" s="16"/>
      <c r="N68" s="127"/>
      <c r="O68" s="128"/>
      <c r="P68" s="160"/>
    </row>
    <row r="69" spans="1:21" s="5" customFormat="1" ht="2.25" customHeight="1" x14ac:dyDescent="0.2">
      <c r="A69" s="63"/>
      <c r="B69" s="107"/>
      <c r="F69" s="75"/>
      <c r="K69" s="120"/>
      <c r="L69" s="121"/>
      <c r="M69" s="16"/>
      <c r="N69" s="127"/>
      <c r="O69" s="128"/>
      <c r="P69" s="159"/>
    </row>
    <row r="70" spans="1:21" ht="12" customHeight="1" x14ac:dyDescent="0.25">
      <c r="A70" s="63"/>
      <c r="B70" s="107"/>
      <c r="C70" s="349"/>
      <c r="D70" s="349"/>
      <c r="E70" s="338">
        <f ca="1">K65</f>
        <v>87246.666666666672</v>
      </c>
      <c r="F70" s="338"/>
      <c r="G70" s="176" t="s">
        <v>89</v>
      </c>
      <c r="H70" s="263">
        <f>F67</f>
        <v>8.7300000000000003E-2</v>
      </c>
      <c r="I70" s="22" t="s">
        <v>10</v>
      </c>
      <c r="K70" s="350">
        <f ca="1">IF(G19="",0,E70*H70)</f>
        <v>7616.6340000000009</v>
      </c>
      <c r="L70" s="351"/>
      <c r="M70" s="15"/>
      <c r="N70" s="336"/>
      <c r="O70" s="337"/>
      <c r="P70" s="158"/>
      <c r="R70" s="32"/>
      <c r="U70" s="32"/>
    </row>
    <row r="71" spans="1:21" ht="2.25" customHeight="1" thickBot="1" x14ac:dyDescent="0.3">
      <c r="B71" s="94"/>
      <c r="C71" s="95"/>
      <c r="D71" s="95"/>
      <c r="E71" s="95"/>
      <c r="F71" s="95"/>
      <c r="G71" s="95"/>
      <c r="H71" s="95"/>
      <c r="I71" s="95"/>
      <c r="J71" s="95"/>
      <c r="K71" s="122"/>
      <c r="L71" s="123"/>
      <c r="M71" s="96"/>
      <c r="N71" s="113"/>
      <c r="O71" s="124"/>
    </row>
    <row r="72" spans="1:21" ht="27.75" customHeight="1" thickBot="1" x14ac:dyDescent="0.3">
      <c r="A72" s="63"/>
      <c r="B72" s="84"/>
      <c r="C72" s="347" t="s">
        <v>185</v>
      </c>
      <c r="D72" s="348"/>
      <c r="E72" s="348"/>
      <c r="F72" s="348"/>
      <c r="G72" s="344" t="s">
        <v>186</v>
      </c>
      <c r="H72" s="345"/>
      <c r="I72" s="345"/>
      <c r="J72" s="346"/>
      <c r="K72" s="339">
        <f ca="1">(K56+K70+K63+K49)</f>
        <v>94863.300666666677</v>
      </c>
      <c r="L72" s="340"/>
      <c r="M72" s="306"/>
      <c r="N72" s="334">
        <f ca="1">IF(G19=""," ",N63+N56+N49)</f>
        <v>94863.300666666677</v>
      </c>
      <c r="O72" s="335"/>
      <c r="U72" s="32"/>
    </row>
    <row r="73" spans="1:21" ht="5.25" customHeight="1" x14ac:dyDescent="0.25">
      <c r="A73" s="63"/>
      <c r="C73" s="70"/>
      <c r="D73" s="70"/>
      <c r="E73" s="68"/>
      <c r="F73" s="68"/>
      <c r="G73" s="33"/>
      <c r="H73" s="23"/>
      <c r="I73" s="22"/>
      <c r="K73" s="76"/>
      <c r="L73" s="69"/>
      <c r="N73" s="76"/>
      <c r="O73" s="69"/>
    </row>
    <row r="74" spans="1:21" ht="6" customHeight="1" x14ac:dyDescent="0.25">
      <c r="B74" s="2"/>
    </row>
    <row r="75" spans="1:21" x14ac:dyDescent="0.25">
      <c r="B75" s="315" t="s">
        <v>167</v>
      </c>
      <c r="C75" s="315"/>
      <c r="D75" s="315"/>
      <c r="E75" s="315"/>
      <c r="F75" s="315"/>
      <c r="G75" s="315"/>
      <c r="H75" s="315"/>
      <c r="I75" s="315"/>
      <c r="J75" s="315"/>
      <c r="K75" s="315"/>
      <c r="L75" s="315"/>
      <c r="M75" s="315"/>
      <c r="N75" s="315"/>
      <c r="O75" s="315"/>
    </row>
    <row r="76" spans="1:21" x14ac:dyDescent="0.25">
      <c r="B76" s="315" t="s">
        <v>168</v>
      </c>
      <c r="C76" s="315"/>
      <c r="D76" s="315"/>
      <c r="E76" s="315"/>
      <c r="F76" s="315"/>
      <c r="G76" s="315"/>
      <c r="H76" s="315"/>
      <c r="I76" s="315"/>
      <c r="J76" s="315"/>
      <c r="K76" s="315"/>
      <c r="L76" s="315"/>
      <c r="M76" s="315"/>
      <c r="N76" s="315"/>
      <c r="O76" s="315"/>
      <c r="U76" s="32"/>
    </row>
    <row r="77" spans="1:21" x14ac:dyDescent="0.25">
      <c r="O77" s="179"/>
    </row>
    <row r="78" spans="1:21" x14ac:dyDescent="0.25">
      <c r="I78" s="2"/>
      <c r="O78" s="179"/>
      <c r="U78" s="32"/>
    </row>
    <row r="79" spans="1:21" x14ac:dyDescent="0.25">
      <c r="C79" s="5"/>
    </row>
    <row r="80" spans="1:21" x14ac:dyDescent="0.25">
      <c r="I80" s="2"/>
      <c r="O80" s="179"/>
    </row>
    <row r="81" spans="15:15" x14ac:dyDescent="0.25">
      <c r="O81" s="179"/>
    </row>
    <row r="82" spans="15:15" x14ac:dyDescent="0.25">
      <c r="O82" s="179"/>
    </row>
    <row r="83" spans="15:15" x14ac:dyDescent="0.25">
      <c r="O83" s="179"/>
    </row>
    <row r="84" spans="15:15" x14ac:dyDescent="0.25">
      <c r="O84" s="179"/>
    </row>
    <row r="85" spans="15:15" x14ac:dyDescent="0.25">
      <c r="O85" s="179"/>
    </row>
    <row r="86" spans="15:15" x14ac:dyDescent="0.25">
      <c r="O86" s="179"/>
    </row>
  </sheetData>
  <sheetProtection algorithmName="SHA-512" hashValue="dAMoxfKkhTJfHsqyEQcJL6gleyM4t5S3EiOjuMoY7QvQeo7zT2qqZqaazAl5qLs+XucEQohZnp16OtOoVnwSwg==" saltValue="QdR4/abVChGww+QNmEeVZQ==" spinCount="100000" sheet="1" objects="1" scenarios="1"/>
  <mergeCells count="75">
    <mergeCell ref="E9:O10"/>
    <mergeCell ref="E12:O13"/>
    <mergeCell ref="B2:E2"/>
    <mergeCell ref="G19:I20"/>
    <mergeCell ref="B16:B17"/>
    <mergeCell ref="I2:O2"/>
    <mergeCell ref="N20:O20"/>
    <mergeCell ref="C16:N16"/>
    <mergeCell ref="C17:N17"/>
    <mergeCell ref="N43:O43"/>
    <mergeCell ref="K42:L42"/>
    <mergeCell ref="K49:L49"/>
    <mergeCell ref="K46:L46"/>
    <mergeCell ref="K47:L47"/>
    <mergeCell ref="K45:L45"/>
    <mergeCell ref="N45:O45"/>
    <mergeCell ref="N49:O49"/>
    <mergeCell ref="N46:O46"/>
    <mergeCell ref="N47:O47"/>
    <mergeCell ref="N42:O42"/>
    <mergeCell ref="C27:D27"/>
    <mergeCell ref="K27:L27"/>
    <mergeCell ref="K34:L34"/>
    <mergeCell ref="K35:L35"/>
    <mergeCell ref="K43:L43"/>
    <mergeCell ref="K39:L39"/>
    <mergeCell ref="K33:L33"/>
    <mergeCell ref="K41:L41"/>
    <mergeCell ref="K37:L37"/>
    <mergeCell ref="K30:L30"/>
    <mergeCell ref="K31:L31"/>
    <mergeCell ref="K38:L38"/>
    <mergeCell ref="N53:O53"/>
    <mergeCell ref="N60:O60"/>
    <mergeCell ref="N65:O65"/>
    <mergeCell ref="K60:L60"/>
    <mergeCell ref="D60:H60"/>
    <mergeCell ref="C59:D59"/>
    <mergeCell ref="K53:L53"/>
    <mergeCell ref="K56:L56"/>
    <mergeCell ref="K54:L54"/>
    <mergeCell ref="H61:I61"/>
    <mergeCell ref="C61:D61"/>
    <mergeCell ref="E61:F61"/>
    <mergeCell ref="C55:D55"/>
    <mergeCell ref="H62:I62"/>
    <mergeCell ref="K65:L65"/>
    <mergeCell ref="C53:D53"/>
    <mergeCell ref="N72:O72"/>
    <mergeCell ref="N70:O70"/>
    <mergeCell ref="N63:O63"/>
    <mergeCell ref="E70:F70"/>
    <mergeCell ref="K72:L72"/>
    <mergeCell ref="K63:L63"/>
    <mergeCell ref="F67:F68"/>
    <mergeCell ref="G72:J72"/>
    <mergeCell ref="C72:F72"/>
    <mergeCell ref="C70:D70"/>
    <mergeCell ref="K70:L70"/>
    <mergeCell ref="B75:O75"/>
    <mergeCell ref="B76:O76"/>
    <mergeCell ref="K22:L22"/>
    <mergeCell ref="N56:O56"/>
    <mergeCell ref="N27:O27"/>
    <mergeCell ref="N34:O34"/>
    <mergeCell ref="N35:O35"/>
    <mergeCell ref="N39:O39"/>
    <mergeCell ref="N41:O41"/>
    <mergeCell ref="N33:O33"/>
    <mergeCell ref="N37:O37"/>
    <mergeCell ref="N30:O30"/>
    <mergeCell ref="N31:O31"/>
    <mergeCell ref="N38:O38"/>
    <mergeCell ref="E51:F51"/>
    <mergeCell ref="E57:F57"/>
  </mergeCells>
  <phoneticPr fontId="4" type="noConversion"/>
  <dataValidations count="2">
    <dataValidation type="list" showInputMessage="1" showErrorMessage="1" sqref="B16:B17" xr:uid="{00000000-0002-0000-0000-000000000000}">
      <formula1>"1a,1b,1c,1d,1e"</formula1>
    </dataValidation>
    <dataValidation type="list" showInputMessage="1" showErrorMessage="1" sqref="B31 B54 B34:B35 B38:B39 B42:B43 B46:B47 B60" xr:uid="{4E03E0BC-18DD-4221-8BF7-9F7E44092555}">
      <formula1>"0,1"</formula1>
    </dataValidation>
  </dataValidations>
  <pageMargins left="0.59055118110236227" right="0.39370078740157483" top="0.39370078740157483" bottom="0" header="0" footer="0"/>
  <pageSetup paperSize="9" scale="95" fitToWidth="0" fitToHeight="0" orientation="portrait" horizontalDpi="300" verticalDpi="300" r:id="rId1"/>
  <headerFooter alignWithMargins="0"/>
  <ignoredErrors>
    <ignoredError sqref="N20"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80EF3E7-03CF-4818-B012-78C9F61E7ACC}">
          <x14:formula1>
            <xm:f>TabB!$B$21:$B$22</xm:f>
          </x14:formula1>
          <xm:sqref>D60:H60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1">
    <pageSetUpPr fitToPage="1"/>
  </sheetPr>
  <dimension ref="A1:K20"/>
  <sheetViews>
    <sheetView showGridLines="0" zoomScale="120" zoomScaleNormal="120" zoomScaleSheetLayoutView="120" workbookViewId="0">
      <selection activeCell="D11" sqref="D11"/>
    </sheetView>
  </sheetViews>
  <sheetFormatPr baseColWidth="10" defaultColWidth="9.109375" defaultRowHeight="13.2" x14ac:dyDescent="0.25"/>
  <cols>
    <col min="1" max="1" width="5.88671875" style="30" customWidth="1"/>
    <col min="2" max="2" width="6.109375" customWidth="1"/>
    <col min="3" max="3" width="8" customWidth="1"/>
    <col min="4" max="4" width="65.6640625" customWidth="1"/>
    <col min="5" max="5" width="1.33203125" customWidth="1"/>
    <col min="6" max="6" width="1" customWidth="1"/>
    <col min="7" max="7" width="6.109375" style="3" customWidth="1"/>
    <col min="8" max="8" width="8" style="3" customWidth="1"/>
    <col min="9" max="9" width="65.6640625" style="3" customWidth="1"/>
    <col min="11" max="11" width="80.109375" customWidth="1"/>
  </cols>
  <sheetData>
    <row r="1" spans="1:11" ht="24.6" x14ac:dyDescent="0.25">
      <c r="B1" s="393"/>
      <c r="C1" s="393"/>
      <c r="D1" s="393"/>
      <c r="G1" s="393"/>
      <c r="H1" s="393"/>
      <c r="I1" s="393"/>
    </row>
    <row r="2" spans="1:11" s="2" customFormat="1" ht="13.8" thickBot="1" x14ac:dyDescent="0.3">
      <c r="A2" s="48"/>
      <c r="B2" s="402"/>
      <c r="C2" s="402"/>
      <c r="D2" s="402"/>
      <c r="G2" s="402"/>
      <c r="H2" s="402"/>
      <c r="I2" s="402"/>
    </row>
    <row r="3" spans="1:11" ht="21" customHeight="1" x14ac:dyDescent="0.25">
      <c r="B3" s="399" t="s">
        <v>127</v>
      </c>
      <c r="C3" s="400"/>
      <c r="D3" s="401"/>
      <c r="G3" s="399" t="s">
        <v>133</v>
      </c>
      <c r="H3" s="400"/>
      <c r="I3" s="401"/>
    </row>
    <row r="4" spans="1:11" s="3" customFormat="1" x14ac:dyDescent="0.25">
      <c r="A4" s="31"/>
      <c r="B4" s="275"/>
      <c r="C4" s="276"/>
      <c r="D4" s="277"/>
      <c r="G4" s="272"/>
      <c r="H4" s="273"/>
      <c r="I4" s="274"/>
      <c r="K4"/>
    </row>
    <row r="5" spans="1:11" ht="15" customHeight="1" x14ac:dyDescent="0.25">
      <c r="B5" s="238"/>
      <c r="C5" s="1" t="s">
        <v>0</v>
      </c>
      <c r="D5" s="239" t="s">
        <v>164</v>
      </c>
      <c r="G5" s="238"/>
      <c r="H5" s="1" t="s">
        <v>2</v>
      </c>
      <c r="I5" s="239" t="s">
        <v>163</v>
      </c>
    </row>
    <row r="6" spans="1:11" ht="5.25" hidden="1" customHeight="1" x14ac:dyDescent="0.25">
      <c r="B6" s="394"/>
      <c r="C6" s="409"/>
      <c r="D6" s="410"/>
      <c r="G6" s="394"/>
      <c r="H6" s="403"/>
      <c r="I6" s="404"/>
    </row>
    <row r="7" spans="1:11" x14ac:dyDescent="0.25">
      <c r="B7" s="397"/>
      <c r="C7" s="411"/>
      <c r="D7" s="412"/>
      <c r="G7" s="395"/>
      <c r="H7" s="405"/>
      <c r="I7" s="406"/>
    </row>
    <row r="8" spans="1:11" ht="15.6" customHeight="1" x14ac:dyDescent="0.25">
      <c r="B8" s="397"/>
      <c r="C8" s="413"/>
      <c r="D8" s="414"/>
      <c r="G8" s="395"/>
      <c r="H8" s="407"/>
      <c r="I8" s="408"/>
    </row>
    <row r="9" spans="1:11" ht="42" customHeight="1" x14ac:dyDescent="0.25">
      <c r="A9" s="31" t="s">
        <v>16</v>
      </c>
      <c r="B9" s="397"/>
      <c r="C9" s="4" t="s">
        <v>16</v>
      </c>
      <c r="D9" s="240" t="s">
        <v>169</v>
      </c>
      <c r="G9" s="395"/>
      <c r="H9" s="4" t="s">
        <v>16</v>
      </c>
      <c r="I9" s="240" t="s">
        <v>156</v>
      </c>
    </row>
    <row r="10" spans="1:11" ht="28.5" customHeight="1" x14ac:dyDescent="0.25">
      <c r="A10" s="31" t="s">
        <v>26</v>
      </c>
      <c r="B10" s="397"/>
      <c r="C10" s="4" t="s">
        <v>26</v>
      </c>
      <c r="D10" s="241" t="s">
        <v>170</v>
      </c>
      <c r="G10" s="395"/>
      <c r="H10" s="4" t="s">
        <v>26</v>
      </c>
      <c r="I10" s="241" t="s">
        <v>157</v>
      </c>
    </row>
    <row r="11" spans="1:11" ht="51" x14ac:dyDescent="0.25">
      <c r="A11" s="31" t="s">
        <v>27</v>
      </c>
      <c r="B11" s="397"/>
      <c r="C11" s="4" t="s">
        <v>27</v>
      </c>
      <c r="D11" s="241" t="s">
        <v>171</v>
      </c>
      <c r="G11" s="395"/>
      <c r="H11" s="4" t="s">
        <v>27</v>
      </c>
      <c r="I11" s="241" t="s">
        <v>154</v>
      </c>
    </row>
    <row r="12" spans="1:11" ht="65.25" customHeight="1" x14ac:dyDescent="0.25">
      <c r="A12" s="31" t="s">
        <v>28</v>
      </c>
      <c r="B12" s="397"/>
      <c r="C12" s="4" t="s">
        <v>28</v>
      </c>
      <c r="D12" s="242" t="s">
        <v>173</v>
      </c>
      <c r="G12" s="395"/>
      <c r="H12" s="4" t="s">
        <v>28</v>
      </c>
      <c r="I12" s="242" t="s">
        <v>155</v>
      </c>
    </row>
    <row r="13" spans="1:11" ht="33.75" customHeight="1" thickBot="1" x14ac:dyDescent="0.3">
      <c r="A13" s="31" t="s">
        <v>29</v>
      </c>
      <c r="B13" s="398"/>
      <c r="C13" s="243" t="s">
        <v>29</v>
      </c>
      <c r="D13" s="244" t="s">
        <v>172</v>
      </c>
      <c r="G13" s="396"/>
      <c r="H13" s="243" t="s">
        <v>29</v>
      </c>
      <c r="I13" s="244" t="s">
        <v>158</v>
      </c>
    </row>
    <row r="15" spans="1:11" ht="34.35" customHeight="1" x14ac:dyDescent="0.25"/>
    <row r="16" spans="1:11" ht="35.4" customHeight="1" x14ac:dyDescent="0.25">
      <c r="C16" s="204" t="s">
        <v>128</v>
      </c>
      <c r="D16" s="200" t="s">
        <v>184</v>
      </c>
      <c r="H16" s="204" t="s">
        <v>128</v>
      </c>
      <c r="I16" s="200" t="s">
        <v>129</v>
      </c>
    </row>
    <row r="19" spans="8:9" x14ac:dyDescent="0.25">
      <c r="H19" s="2"/>
    </row>
    <row r="20" spans="8:9" ht="11.25" customHeight="1" x14ac:dyDescent="0.25">
      <c r="I20" s="2"/>
    </row>
  </sheetData>
  <sheetProtection algorithmName="SHA-512" hashValue="owWe1A7GnaWYDjjHLVAM0a2iKlMLdnLB8LuDPXQVFCJ6XdAJ6cRbeo6pDeovPIUG2jvxNG3I1eRq2FXDTFuSnw==" saltValue="jKrzYBI12QO8n1uSdBnW2A==" spinCount="100000" sheet="1" objects="1" scenarios="1"/>
  <mergeCells count="10">
    <mergeCell ref="G1:I1"/>
    <mergeCell ref="G6:G13"/>
    <mergeCell ref="B1:D1"/>
    <mergeCell ref="B6:B13"/>
    <mergeCell ref="B3:D3"/>
    <mergeCell ref="B2:D2"/>
    <mergeCell ref="G2:I2"/>
    <mergeCell ref="H6:I8"/>
    <mergeCell ref="C6:D8"/>
    <mergeCell ref="G3:I3"/>
  </mergeCells>
  <phoneticPr fontId="4" type="noConversion"/>
  <printOptions horizontalCentered="1"/>
  <pageMargins left="0.78740157480314965" right="0.78740157480314965" top="1.3779527559055118" bottom="0.98425196850393704" header="0.51181102362204722" footer="0.51181102362204722"/>
  <pageSetup paperSize="9" scale="80" fitToHeight="0" orientation="landscape" r:id="rId1"/>
  <headerFooter alignWithMargins="0">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Bozen&amp;RVersione aprile 2023
Version April 2023</oddFooter>
  </headerFooter>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outlinePr summaryBelow="0" summaryRight="0"/>
  </sheetPr>
  <dimension ref="B1:N54"/>
  <sheetViews>
    <sheetView showGridLines="0" zoomScaleNormal="100" workbookViewId="0">
      <selection activeCell="A2" sqref="A2"/>
    </sheetView>
  </sheetViews>
  <sheetFormatPr baseColWidth="10" defaultColWidth="10.6640625" defaultRowHeight="13.2" x14ac:dyDescent="0.25"/>
  <cols>
    <col min="1" max="1" width="4.88671875" customWidth="1"/>
    <col min="2" max="2" width="15.44140625" customWidth="1"/>
    <col min="3" max="3" width="11.109375" hidden="1" customWidth="1"/>
    <col min="4" max="8" width="13.88671875" customWidth="1"/>
    <col min="9" max="9" width="5.5546875" customWidth="1"/>
    <col min="10" max="11" width="12.33203125" customWidth="1"/>
    <col min="12" max="12" width="13.44140625" customWidth="1"/>
    <col min="13" max="13" width="18" customWidth="1"/>
    <col min="14" max="14" width="7.109375" customWidth="1"/>
    <col min="15" max="15" width="5.88671875" customWidth="1"/>
    <col min="16" max="16" width="5" customWidth="1"/>
    <col min="17" max="17" width="7.5546875" customWidth="1"/>
    <col min="18" max="18" width="6.44140625" customWidth="1"/>
    <col min="19" max="19" width="6" customWidth="1"/>
    <col min="20" max="20" width="6.6640625" customWidth="1"/>
    <col min="21" max="21" width="8.88671875" customWidth="1"/>
    <col min="22" max="22" width="15.5546875" customWidth="1"/>
  </cols>
  <sheetData>
    <row r="1" spans="2:14" ht="4.5" customHeight="1" x14ac:dyDescent="0.25"/>
    <row r="2" spans="2:14" ht="75.75" customHeight="1" thickBot="1" x14ac:dyDescent="0.3"/>
    <row r="3" spans="2:14" ht="26.25" customHeight="1" x14ac:dyDescent="0.4">
      <c r="B3" s="415" t="s">
        <v>59</v>
      </c>
      <c r="C3" s="416"/>
      <c r="D3" s="416"/>
      <c r="E3" s="416"/>
      <c r="F3" s="416"/>
      <c r="G3" s="416"/>
      <c r="H3" s="417"/>
      <c r="I3" s="250"/>
      <c r="J3" s="250"/>
      <c r="K3" s="250"/>
      <c r="L3" s="73"/>
      <c r="M3" s="73"/>
      <c r="N3" s="73"/>
    </row>
    <row r="4" spans="2:14" ht="5.25" customHeight="1" x14ac:dyDescent="0.4">
      <c r="B4" s="282"/>
      <c r="C4" s="283"/>
      <c r="D4" s="283"/>
      <c r="E4" s="283"/>
      <c r="F4" s="283"/>
      <c r="G4" s="283"/>
      <c r="H4" s="284"/>
      <c r="I4" s="73"/>
      <c r="J4" s="73"/>
      <c r="K4" s="73"/>
      <c r="L4" s="73"/>
      <c r="M4" s="73"/>
      <c r="N4" s="73"/>
    </row>
    <row r="5" spans="2:14" ht="5.25" customHeight="1" x14ac:dyDescent="0.25">
      <c r="B5" s="285"/>
      <c r="C5" s="286"/>
      <c r="D5" s="273"/>
      <c r="E5" s="273"/>
      <c r="F5" s="273"/>
      <c r="G5" s="273"/>
      <c r="H5" s="287"/>
      <c r="I5" s="3"/>
      <c r="J5" s="3"/>
      <c r="K5" s="3"/>
      <c r="L5" s="3"/>
      <c r="M5" s="3"/>
      <c r="N5" s="3"/>
    </row>
    <row r="6" spans="2:14" x14ac:dyDescent="0.25">
      <c r="B6" s="288" t="s">
        <v>153</v>
      </c>
      <c r="C6" s="266"/>
      <c r="D6" s="266"/>
      <c r="E6" s="289"/>
      <c r="F6" s="289"/>
      <c r="G6" s="289"/>
      <c r="H6" s="290"/>
      <c r="I6" s="71"/>
      <c r="J6" s="71"/>
      <c r="K6" s="71"/>
    </row>
    <row r="7" spans="2:14" x14ac:dyDescent="0.25">
      <c r="B7" s="288" t="s">
        <v>150</v>
      </c>
      <c r="C7" s="266"/>
      <c r="D7" s="266"/>
      <c r="E7" s="289"/>
      <c r="F7" s="289"/>
      <c r="G7" s="289"/>
      <c r="H7" s="291"/>
      <c r="I7" s="71"/>
      <c r="J7" s="71"/>
      <c r="K7" s="71"/>
    </row>
    <row r="8" spans="2:14" ht="4.5" customHeight="1" x14ac:dyDescent="0.25">
      <c r="B8" s="292"/>
      <c r="C8" s="293"/>
      <c r="D8" s="293"/>
      <c r="E8" s="289"/>
      <c r="F8" s="289"/>
      <c r="G8" s="289"/>
      <c r="H8" s="291"/>
      <c r="I8" s="71"/>
      <c r="J8" s="71"/>
      <c r="K8" s="71"/>
    </row>
    <row r="9" spans="2:14" ht="4.5" customHeight="1" thickBot="1" x14ac:dyDescent="0.3">
      <c r="B9" s="294"/>
      <c r="C9" s="266"/>
      <c r="D9" s="266"/>
      <c r="E9" s="266"/>
      <c r="F9" s="266"/>
      <c r="G9" s="266"/>
      <c r="H9" s="290"/>
    </row>
    <row r="10" spans="2:14" ht="15.75" customHeight="1" x14ac:dyDescent="0.25">
      <c r="B10" s="418" t="s">
        <v>159</v>
      </c>
      <c r="C10" s="420" t="s">
        <v>160</v>
      </c>
      <c r="D10" s="421"/>
      <c r="E10" s="421"/>
      <c r="F10" s="421"/>
      <c r="G10" s="421"/>
      <c r="H10" s="422"/>
    </row>
    <row r="11" spans="2:14" ht="36.75" customHeight="1" thickBot="1" x14ac:dyDescent="0.3">
      <c r="B11" s="419"/>
      <c r="C11" s="423"/>
      <c r="D11" s="424"/>
      <c r="E11" s="424"/>
      <c r="F11" s="424"/>
      <c r="G11" s="424"/>
      <c r="H11" s="425"/>
      <c r="I11" s="264"/>
    </row>
    <row r="12" spans="2:14" ht="13.8" thickBot="1" x14ac:dyDescent="0.3">
      <c r="B12" s="58" t="s">
        <v>57</v>
      </c>
      <c r="C12" s="72" t="s">
        <v>139</v>
      </c>
      <c r="D12" s="57" t="s">
        <v>52</v>
      </c>
      <c r="E12" s="72" t="s">
        <v>53</v>
      </c>
      <c r="F12" s="72" t="s">
        <v>54</v>
      </c>
      <c r="G12" s="72" t="s">
        <v>55</v>
      </c>
      <c r="H12" s="72" t="s">
        <v>56</v>
      </c>
    </row>
    <row r="13" spans="2:14" hidden="1" x14ac:dyDescent="0.25">
      <c r="B13" s="268">
        <v>0</v>
      </c>
      <c r="C13" s="247">
        <v>13</v>
      </c>
      <c r="D13" s="278">
        <v>12.15</v>
      </c>
      <c r="E13" s="279">
        <v>14.7</v>
      </c>
      <c r="F13" s="279">
        <v>18.95</v>
      </c>
      <c r="G13" s="279">
        <v>24.15</v>
      </c>
      <c r="H13" s="174">
        <v>16.82</v>
      </c>
    </row>
    <row r="14" spans="2:14" x14ac:dyDescent="0.25">
      <c r="B14" s="268">
        <v>36000</v>
      </c>
      <c r="C14" s="247">
        <v>14</v>
      </c>
      <c r="D14" s="278">
        <v>12.15</v>
      </c>
      <c r="E14" s="279">
        <v>14.7</v>
      </c>
      <c r="F14" s="279">
        <v>18.95</v>
      </c>
      <c r="G14" s="279">
        <v>24.15</v>
      </c>
      <c r="H14" s="279">
        <v>16.82</v>
      </c>
    </row>
    <row r="15" spans="2:14" x14ac:dyDescent="0.25">
      <c r="B15" s="268">
        <v>48000</v>
      </c>
      <c r="C15" s="247">
        <v>15</v>
      </c>
      <c r="D15" s="278">
        <v>11.42</v>
      </c>
      <c r="E15" s="279">
        <v>13.77</v>
      </c>
      <c r="F15" s="279">
        <v>18</v>
      </c>
      <c r="G15" s="279">
        <v>22.25</v>
      </c>
      <c r="H15" s="279">
        <v>15.88</v>
      </c>
    </row>
    <row r="16" spans="2:14" x14ac:dyDescent="0.25">
      <c r="B16" s="268">
        <v>60000</v>
      </c>
      <c r="C16" s="247">
        <v>16</v>
      </c>
      <c r="D16" s="278">
        <v>10.8</v>
      </c>
      <c r="E16" s="279">
        <v>12.95</v>
      </c>
      <c r="F16" s="279">
        <v>17.16</v>
      </c>
      <c r="G16" s="279">
        <v>20.82</v>
      </c>
      <c r="H16" s="279">
        <v>15.05</v>
      </c>
    </row>
    <row r="17" spans="2:8" x14ac:dyDescent="0.25">
      <c r="B17" s="268">
        <v>120000</v>
      </c>
      <c r="C17" s="247">
        <v>17</v>
      </c>
      <c r="D17" s="278">
        <v>8.6999999999999993</v>
      </c>
      <c r="E17" s="279">
        <v>10.25</v>
      </c>
      <c r="F17" s="279">
        <v>13.55</v>
      </c>
      <c r="G17" s="279">
        <v>15.65</v>
      </c>
      <c r="H17" s="279">
        <v>11.9</v>
      </c>
    </row>
    <row r="18" spans="2:8" x14ac:dyDescent="0.25">
      <c r="B18" s="268">
        <v>180000</v>
      </c>
      <c r="C18" s="247">
        <v>18</v>
      </c>
      <c r="D18" s="278">
        <v>7.89</v>
      </c>
      <c r="E18" s="279">
        <v>9.3000000000000007</v>
      </c>
      <c r="F18" s="279">
        <v>11.35</v>
      </c>
      <c r="G18" s="279">
        <v>13.18</v>
      </c>
      <c r="H18" s="279">
        <v>10.32</v>
      </c>
    </row>
    <row r="19" spans="2:8" x14ac:dyDescent="0.25">
      <c r="B19" s="268">
        <v>240000</v>
      </c>
      <c r="C19" s="247">
        <v>19</v>
      </c>
      <c r="D19" s="278">
        <v>7.55</v>
      </c>
      <c r="E19" s="279">
        <v>8.85</v>
      </c>
      <c r="F19" s="279">
        <v>10</v>
      </c>
      <c r="G19" s="279">
        <v>11.9</v>
      </c>
      <c r="H19" s="279">
        <v>9.42</v>
      </c>
    </row>
    <row r="20" spans="2:8" x14ac:dyDescent="0.25">
      <c r="B20" s="268">
        <v>360000</v>
      </c>
      <c r="C20" s="247">
        <v>20</v>
      </c>
      <c r="D20" s="278">
        <v>6.95</v>
      </c>
      <c r="E20" s="279">
        <v>8.33</v>
      </c>
      <c r="F20" s="279">
        <v>8.93</v>
      </c>
      <c r="G20" s="279">
        <v>10.77</v>
      </c>
      <c r="H20" s="279">
        <v>8.629999999999999</v>
      </c>
    </row>
    <row r="21" spans="2:8" x14ac:dyDescent="0.25">
      <c r="B21" s="268">
        <v>480000</v>
      </c>
      <c r="C21" s="247">
        <v>21</v>
      </c>
      <c r="D21" s="278">
        <v>6.55</v>
      </c>
      <c r="E21" s="279">
        <v>7.88</v>
      </c>
      <c r="F21" s="279">
        <v>8.42</v>
      </c>
      <c r="G21" s="279">
        <v>10.15</v>
      </c>
      <c r="H21" s="279">
        <v>8.15</v>
      </c>
    </row>
    <row r="22" spans="2:8" x14ac:dyDescent="0.25">
      <c r="B22" s="268">
        <v>600000</v>
      </c>
      <c r="C22" s="247">
        <v>22</v>
      </c>
      <c r="D22" s="278">
        <v>6.4</v>
      </c>
      <c r="E22" s="279">
        <v>7.6</v>
      </c>
      <c r="F22" s="279">
        <v>8.1999999999999993</v>
      </c>
      <c r="G22" s="279">
        <v>9.827</v>
      </c>
      <c r="H22" s="279">
        <v>7.8999999999999995</v>
      </c>
    </row>
    <row r="23" spans="2:8" x14ac:dyDescent="0.25">
      <c r="B23" s="268">
        <v>1200000</v>
      </c>
      <c r="C23" s="247">
        <v>23</v>
      </c>
      <c r="D23" s="278">
        <v>5.7</v>
      </c>
      <c r="E23" s="279">
        <v>6.8</v>
      </c>
      <c r="F23" s="279">
        <v>7.28</v>
      </c>
      <c r="G23" s="279">
        <v>8.75</v>
      </c>
      <c r="H23" s="279">
        <v>7.04</v>
      </c>
    </row>
    <row r="24" spans="2:8" x14ac:dyDescent="0.25">
      <c r="B24" s="268">
        <v>1800000</v>
      </c>
      <c r="C24" s="247">
        <v>24</v>
      </c>
      <c r="D24" s="278">
        <v>5.33</v>
      </c>
      <c r="E24" s="279">
        <v>6.35</v>
      </c>
      <c r="F24" s="279">
        <v>6.8</v>
      </c>
      <c r="G24" s="279">
        <v>8.14</v>
      </c>
      <c r="H24" s="279">
        <v>6.57</v>
      </c>
    </row>
    <row r="25" spans="2:8" x14ac:dyDescent="0.25">
      <c r="B25" s="268">
        <v>2400000</v>
      </c>
      <c r="C25" s="247">
        <v>25</v>
      </c>
      <c r="D25" s="278">
        <v>5.09</v>
      </c>
      <c r="E25" s="279">
        <v>6.05</v>
      </c>
      <c r="F25" s="279">
        <v>6.47</v>
      </c>
      <c r="G25" s="279">
        <v>7.7249999999999996</v>
      </c>
      <c r="H25" s="279">
        <v>6.26</v>
      </c>
    </row>
    <row r="26" spans="2:8" x14ac:dyDescent="0.25">
      <c r="B26" s="268">
        <v>3600000</v>
      </c>
      <c r="C26" s="247">
        <v>26</v>
      </c>
      <c r="D26" s="278">
        <v>4.34</v>
      </c>
      <c r="E26" s="279">
        <v>5.12</v>
      </c>
      <c r="F26" s="279">
        <v>5.48</v>
      </c>
      <c r="G26" s="279">
        <v>6.5</v>
      </c>
      <c r="H26" s="279">
        <v>5.3000000000000007</v>
      </c>
    </row>
    <row r="27" spans="2:8" x14ac:dyDescent="0.25">
      <c r="B27" s="268">
        <v>4800000</v>
      </c>
      <c r="C27" s="247">
        <v>27</v>
      </c>
      <c r="D27" s="278">
        <v>4.33</v>
      </c>
      <c r="E27" s="279">
        <v>5.1100000000000003</v>
      </c>
      <c r="F27" s="279">
        <v>5.45</v>
      </c>
      <c r="G27" s="279">
        <v>6.47</v>
      </c>
      <c r="H27" s="279">
        <v>5.28</v>
      </c>
    </row>
    <row r="28" spans="2:8" x14ac:dyDescent="0.25">
      <c r="B28" s="268">
        <v>6000000</v>
      </c>
      <c r="C28" s="247">
        <v>28</v>
      </c>
      <c r="D28" s="278">
        <v>4.3</v>
      </c>
      <c r="E28" s="279">
        <v>5.08</v>
      </c>
      <c r="F28" s="279">
        <v>5.15</v>
      </c>
      <c r="G28" s="279">
        <v>6.43</v>
      </c>
      <c r="H28" s="279">
        <v>5.1100000000000003</v>
      </c>
    </row>
    <row r="29" spans="2:8" x14ac:dyDescent="0.25">
      <c r="B29" s="268">
        <v>12000000</v>
      </c>
      <c r="C29" s="247">
        <v>29</v>
      </c>
      <c r="D29" s="278">
        <v>4.2300000000000004</v>
      </c>
      <c r="E29" s="279">
        <v>4.99</v>
      </c>
      <c r="F29" s="279">
        <v>5.07</v>
      </c>
      <c r="G29" s="279">
        <v>6.33</v>
      </c>
      <c r="H29" s="279">
        <v>5.05</v>
      </c>
    </row>
    <row r="30" spans="2:8" x14ac:dyDescent="0.25">
      <c r="B30" s="268">
        <v>18000000</v>
      </c>
      <c r="C30" s="247">
        <v>30</v>
      </c>
      <c r="D30" s="278">
        <v>4.17</v>
      </c>
      <c r="E30" s="279">
        <v>4.93</v>
      </c>
      <c r="F30" s="279">
        <v>4.9800000000000004</v>
      </c>
      <c r="G30" s="279">
        <v>6.24</v>
      </c>
      <c r="H30" s="279">
        <v>4.95</v>
      </c>
    </row>
    <row r="31" spans="2:8" x14ac:dyDescent="0.25">
      <c r="B31" s="268">
        <v>24000000</v>
      </c>
      <c r="C31" s="247">
        <v>31</v>
      </c>
      <c r="D31" s="278">
        <v>4.13</v>
      </c>
      <c r="E31" s="279">
        <v>4.8899999999999997</v>
      </c>
      <c r="F31" s="279">
        <v>4.9400000000000004</v>
      </c>
      <c r="G31" s="279">
        <v>6.17</v>
      </c>
      <c r="H31" s="279">
        <v>4.8600000000000003</v>
      </c>
    </row>
    <row r="32" spans="2:8" x14ac:dyDescent="0.25">
      <c r="B32" s="268">
        <v>36000000</v>
      </c>
      <c r="C32" s="247">
        <v>32</v>
      </c>
      <c r="D32" s="278">
        <v>4.0999999999999996</v>
      </c>
      <c r="E32" s="279">
        <v>4.8499999999999996</v>
      </c>
      <c r="F32" s="279">
        <v>4.9000000000000004</v>
      </c>
      <c r="G32" s="279">
        <v>6.1</v>
      </c>
      <c r="H32" s="279">
        <v>4.7699999999999996</v>
      </c>
    </row>
    <row r="33" spans="2:14" x14ac:dyDescent="0.25">
      <c r="B33" s="268">
        <v>48000000</v>
      </c>
      <c r="C33" s="247">
        <v>33</v>
      </c>
      <c r="D33" s="278">
        <v>4</v>
      </c>
      <c r="E33" s="279">
        <v>4.8</v>
      </c>
      <c r="F33" s="279">
        <v>4.88</v>
      </c>
      <c r="G33" s="279">
        <v>6.02</v>
      </c>
      <c r="H33" s="279">
        <v>4.67</v>
      </c>
    </row>
    <row r="34" spans="2:14" ht="13.8" thickBot="1" x14ac:dyDescent="0.3">
      <c r="B34" s="74">
        <v>100000000000</v>
      </c>
      <c r="C34" s="248">
        <v>34</v>
      </c>
      <c r="D34" s="280">
        <v>4</v>
      </c>
      <c r="E34" s="281">
        <v>4.8</v>
      </c>
      <c r="F34" s="281">
        <v>4.88</v>
      </c>
      <c r="G34" s="281">
        <v>6.02</v>
      </c>
      <c r="H34" s="281">
        <v>4.58</v>
      </c>
    </row>
    <row r="35" spans="2:14" ht="15" x14ac:dyDescent="0.25">
      <c r="N35" s="59" t="s">
        <v>58</v>
      </c>
    </row>
    <row r="36" spans="2:14" hidden="1" x14ac:dyDescent="0.25">
      <c r="B36" s="2" t="s">
        <v>123</v>
      </c>
    </row>
    <row r="37" spans="2:14" hidden="1" x14ac:dyDescent="0.25">
      <c r="B37">
        <f>Calcolo_Berechnung!G19</f>
        <v>1000000</v>
      </c>
      <c r="C37" s="66">
        <f>VLOOKUP(B37,B13:C34,2,TRUE)</f>
        <v>22</v>
      </c>
      <c r="D37" s="66" t="str">
        <f>C38&amp;C37</f>
        <v>F22</v>
      </c>
      <c r="E37">
        <f ca="1">INDIRECT(D37)</f>
        <v>8.1999999999999993</v>
      </c>
      <c r="F37" t="str">
        <f>"B"&amp;C37</f>
        <v>B22</v>
      </c>
      <c r="G37">
        <f ca="1">INDIRECT(F37)</f>
        <v>600000</v>
      </c>
      <c r="H37">
        <f ca="1">G38-G37</f>
        <v>600000</v>
      </c>
    </row>
    <row r="38" spans="2:14" hidden="1" x14ac:dyDescent="0.25">
      <c r="B38" t="str">
        <f>RIGHT(Calcolo_Berechnung!B16,1)</f>
        <v>c</v>
      </c>
      <c r="C38" t="str">
        <f>VLOOKUP(B38,B50:C54,2,FALSE)</f>
        <v>F</v>
      </c>
      <c r="D38" t="str">
        <f>C38&amp;C37+1</f>
        <v>F23</v>
      </c>
      <c r="E38">
        <f ca="1">INDIRECT(D38)</f>
        <v>7.28</v>
      </c>
      <c r="F38" t="str">
        <f>"B"&amp;C37+1</f>
        <v>B23</v>
      </c>
      <c r="G38">
        <f ca="1">INDIRECT(F38)</f>
        <v>1200000</v>
      </c>
      <c r="H38">
        <f ca="1">B37-G37</f>
        <v>400000</v>
      </c>
    </row>
    <row r="39" spans="2:14" hidden="1" x14ac:dyDescent="0.25">
      <c r="E39">
        <f ca="1">E37-E38</f>
        <v>0.91999999999999904</v>
      </c>
      <c r="F39" s="249" t="s">
        <v>70</v>
      </c>
      <c r="G39">
        <f ca="1">H38/H37*E39</f>
        <v>0.61333333333333262</v>
      </c>
      <c r="H39" s="67">
        <f ca="1">IF(B37&gt;B33,E38,E37-G39)</f>
        <v>7.5866666666666669</v>
      </c>
    </row>
    <row r="40" spans="2:14" hidden="1" x14ac:dyDescent="0.25">
      <c r="F40" s="249"/>
    </row>
    <row r="41" spans="2:14" hidden="1" x14ac:dyDescent="0.25">
      <c r="B41" s="2" t="s">
        <v>124</v>
      </c>
    </row>
    <row r="42" spans="2:14" hidden="1" x14ac:dyDescent="0.25">
      <c r="B42">
        <f>IF(Calcolo_Berechnung!E51&gt;0,Calcolo_Berechnung!E51,Calcolo_Berechnung!G19)</f>
        <v>1000000</v>
      </c>
      <c r="C42" s="66">
        <f>VLOOKUP(B42,B13:C34,2,TRUE)</f>
        <v>22</v>
      </c>
      <c r="D42" s="66" t="str">
        <f>C43&amp;C42</f>
        <v>F22</v>
      </c>
      <c r="E42">
        <f ca="1">INDIRECT(D42)</f>
        <v>8.1999999999999993</v>
      </c>
      <c r="F42" t="str">
        <f>"B"&amp;C42</f>
        <v>B22</v>
      </c>
      <c r="G42">
        <f ca="1">INDIRECT(F42)</f>
        <v>600000</v>
      </c>
      <c r="H42">
        <f ca="1">G43-G42</f>
        <v>600000</v>
      </c>
    </row>
    <row r="43" spans="2:14" hidden="1" x14ac:dyDescent="0.25">
      <c r="B43" t="str">
        <f>RIGHT(Calcolo_Berechnung!B16,1)</f>
        <v>c</v>
      </c>
      <c r="C43" t="str">
        <f>VLOOKUP(B43,B50:C54,2,FALSE)</f>
        <v>F</v>
      </c>
      <c r="D43" t="str">
        <f>C43&amp;C42+1</f>
        <v>F23</v>
      </c>
      <c r="E43">
        <f ca="1">INDIRECT(D43)</f>
        <v>7.28</v>
      </c>
      <c r="F43" t="str">
        <f>"B"&amp;C42+1</f>
        <v>B23</v>
      </c>
      <c r="G43">
        <f ca="1">INDIRECT(F43)</f>
        <v>1200000</v>
      </c>
      <c r="H43">
        <f ca="1">B42-G42</f>
        <v>400000</v>
      </c>
    </row>
    <row r="44" spans="2:14" hidden="1" x14ac:dyDescent="0.25">
      <c r="E44">
        <f ca="1">E42-E43</f>
        <v>0.91999999999999904</v>
      </c>
      <c r="F44" s="249" t="s">
        <v>70</v>
      </c>
      <c r="G44">
        <f ca="1">H43/H42*E44</f>
        <v>0.61333333333333262</v>
      </c>
      <c r="H44" s="67">
        <f ca="1">IF(B42&gt;B33,E43,E42-G44)</f>
        <v>7.5866666666666669</v>
      </c>
    </row>
    <row r="45" spans="2:14" hidden="1" x14ac:dyDescent="0.25"/>
    <row r="46" spans="2:14" hidden="1" x14ac:dyDescent="0.25">
      <c r="B46" s="2" t="s">
        <v>141</v>
      </c>
    </row>
    <row r="47" spans="2:14" hidden="1" x14ac:dyDescent="0.25">
      <c r="B47">
        <f>IF(Calcolo_Berechnung!E57&gt;0,Calcolo_Berechnung!E57,Calcolo_Berechnung!G19)</f>
        <v>1000000</v>
      </c>
      <c r="C47" s="66">
        <f>VLOOKUP(B47,B13:C34,2,TRUE)</f>
        <v>22</v>
      </c>
      <c r="D47" s="66" t="str">
        <f>C48&amp;C47</f>
        <v>F22</v>
      </c>
      <c r="E47">
        <f ca="1">INDIRECT(D47)</f>
        <v>8.1999999999999993</v>
      </c>
      <c r="F47" t="str">
        <f>"B"&amp;C47</f>
        <v>B22</v>
      </c>
      <c r="G47">
        <f ca="1">INDIRECT(F47)</f>
        <v>600000</v>
      </c>
      <c r="H47">
        <f ca="1">G48-G47</f>
        <v>600000</v>
      </c>
    </row>
    <row r="48" spans="2:14" hidden="1" x14ac:dyDescent="0.25">
      <c r="B48" t="str">
        <f>RIGHT(Calcolo_Berechnung!B16,1)</f>
        <v>c</v>
      </c>
      <c r="C48" t="str">
        <f>VLOOKUP(B48,B50:C54,2,FALSE)</f>
        <v>F</v>
      </c>
      <c r="D48" t="str">
        <f>C48&amp;C47+1</f>
        <v>F23</v>
      </c>
      <c r="E48">
        <f ca="1">INDIRECT(D48)</f>
        <v>7.28</v>
      </c>
      <c r="F48" t="str">
        <f>"B"&amp;C47+1</f>
        <v>B23</v>
      </c>
      <c r="G48">
        <f ca="1">INDIRECT(F48)</f>
        <v>1200000</v>
      </c>
      <c r="H48">
        <f ca="1">B47-G47</f>
        <v>400000</v>
      </c>
    </row>
    <row r="49" spans="2:8" hidden="1" x14ac:dyDescent="0.25">
      <c r="E49">
        <f ca="1">E47-E48</f>
        <v>0.91999999999999904</v>
      </c>
      <c r="F49" s="249" t="s">
        <v>70</v>
      </c>
      <c r="G49">
        <f ca="1">H48/H47*E49</f>
        <v>0.61333333333333262</v>
      </c>
      <c r="H49" s="67">
        <f ca="1">IF(B47&gt;B33,E48,E47-G49)</f>
        <v>7.5866666666666669</v>
      </c>
    </row>
    <row r="50" spans="2:8" hidden="1" x14ac:dyDescent="0.25">
      <c r="B50" t="s">
        <v>32</v>
      </c>
      <c r="C50" s="2" t="s">
        <v>140</v>
      </c>
    </row>
    <row r="51" spans="2:8" hidden="1" x14ac:dyDescent="0.25">
      <c r="B51" t="s">
        <v>31</v>
      </c>
      <c r="C51" s="2" t="s">
        <v>66</v>
      </c>
    </row>
    <row r="52" spans="2:8" hidden="1" x14ac:dyDescent="0.25">
      <c r="B52" t="s">
        <v>60</v>
      </c>
      <c r="C52" s="2" t="s">
        <v>67</v>
      </c>
    </row>
    <row r="53" spans="2:8" hidden="1" x14ac:dyDescent="0.25">
      <c r="B53" t="s">
        <v>61</v>
      </c>
      <c r="C53" s="2" t="s">
        <v>68</v>
      </c>
    </row>
    <row r="54" spans="2:8" hidden="1" x14ac:dyDescent="0.25">
      <c r="B54" t="s">
        <v>34</v>
      </c>
      <c r="C54" s="2" t="s">
        <v>69</v>
      </c>
    </row>
  </sheetData>
  <sheetProtection algorithmName="SHA-512" hashValue="3xutxqoW33oHywCpTKp5H1OmUE0aS05BLfG7iBymG8WWVrm+KVr7224N/7ThLSVxZLr9ujlOA0rmIsOHqzbmqw==" saltValue="vPGoWLYTaoYrMYLb3cUGeQ==" spinCount="100000" sheet="1" objects="1" scenarios="1"/>
  <mergeCells count="3">
    <mergeCell ref="B3:H3"/>
    <mergeCell ref="B10:B11"/>
    <mergeCell ref="C10:H11"/>
  </mergeCells>
  <pageMargins left="0.70866141732283472" right="0.70866141732283472" top="0.78740157480314965" bottom="0.78740157480314965" header="0.31496062992125984" footer="0.31496062992125984"/>
  <pageSetup paperSize="9" scale="93" fitToWidth="0" fitToHeight="0" orientation="portrait" horizontalDpi="1200" verticalDpi="1200" r:id="rId1"/>
  <headerFooter>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Bozen&amp;RVersione aprile 2023
Version April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S26"/>
  <sheetViews>
    <sheetView showGridLines="0" zoomScale="85" zoomScaleNormal="85" workbookViewId="0"/>
  </sheetViews>
  <sheetFormatPr baseColWidth="10" defaultColWidth="10.6640625" defaultRowHeight="30" customHeight="1" x14ac:dyDescent="0.25"/>
  <cols>
    <col min="1" max="1" width="6.88671875" customWidth="1"/>
    <col min="2" max="2" width="38.5546875" customWidth="1"/>
    <col min="3" max="4" width="22.88671875" customWidth="1"/>
    <col min="5" max="5" width="9.33203125" customWidth="1"/>
    <col min="6" max="12" width="8.88671875" customWidth="1"/>
    <col min="14" max="14" width="11.44140625" hidden="1" customWidth="1"/>
    <col min="15" max="15" width="13.6640625" hidden="1" customWidth="1"/>
    <col min="16" max="16" width="14.33203125" hidden="1" customWidth="1"/>
    <col min="17" max="17" width="18.44140625" hidden="1" customWidth="1"/>
    <col min="18" max="18" width="26.5546875" hidden="1" customWidth="1"/>
    <col min="19" max="19" width="18" hidden="1" customWidth="1"/>
    <col min="20" max="21" width="5.6640625" customWidth="1"/>
  </cols>
  <sheetData>
    <row r="1" spans="2:18" ht="69" customHeight="1" thickBot="1" x14ac:dyDescent="0.3"/>
    <row r="2" spans="2:18" ht="30" customHeight="1" x14ac:dyDescent="0.25">
      <c r="B2" s="432" t="s">
        <v>37</v>
      </c>
      <c r="C2" s="433"/>
      <c r="D2" s="434"/>
      <c r="E2" s="202"/>
      <c r="F2" s="202"/>
      <c r="G2" s="202"/>
      <c r="H2" s="202"/>
      <c r="I2" s="202"/>
      <c r="J2" s="202"/>
      <c r="K2" s="202"/>
      <c r="L2" s="202"/>
      <c r="M2" s="202"/>
      <c r="N2" s="202"/>
      <c r="O2" s="202"/>
    </row>
    <row r="3" spans="2:18" ht="15" customHeight="1" x14ac:dyDescent="0.25">
      <c r="B3" s="429" t="s">
        <v>36</v>
      </c>
      <c r="C3" s="430"/>
      <c r="D3" s="431"/>
      <c r="E3" s="203"/>
      <c r="F3" s="203"/>
      <c r="G3" s="203"/>
      <c r="H3" s="203"/>
      <c r="I3" s="203"/>
      <c r="J3" s="203"/>
      <c r="K3" s="203"/>
      <c r="L3" s="203"/>
      <c r="M3" s="87"/>
      <c r="N3" s="87"/>
      <c r="O3" s="87"/>
    </row>
    <row r="4" spans="2:18" ht="15" customHeight="1" x14ac:dyDescent="0.25">
      <c r="B4" s="429" t="s">
        <v>35</v>
      </c>
      <c r="C4" s="430"/>
      <c r="D4" s="431"/>
      <c r="E4" s="203"/>
      <c r="F4" s="203"/>
      <c r="G4" s="203"/>
      <c r="H4" s="203"/>
      <c r="I4" s="203"/>
      <c r="J4" s="203"/>
      <c r="K4" s="203"/>
      <c r="L4" s="203"/>
      <c r="M4" s="87"/>
      <c r="N4" s="87"/>
      <c r="O4" s="87"/>
    </row>
    <row r="5" spans="2:18" ht="11.25" customHeight="1" thickBot="1" x14ac:dyDescent="0.3">
      <c r="B5" s="297"/>
      <c r="C5" s="298"/>
      <c r="D5" s="299"/>
    </row>
    <row r="6" spans="2:18" ht="18.75" customHeight="1" x14ac:dyDescent="0.25">
      <c r="B6" s="295" t="str">
        <f>RIGHT(Calcolo_Berechnung!B16)</f>
        <v>c</v>
      </c>
      <c r="C6" s="437" t="s">
        <v>161</v>
      </c>
      <c r="D6" s="438"/>
      <c r="E6" s="227"/>
      <c r="F6" s="228"/>
      <c r="G6" s="228"/>
      <c r="H6" s="228"/>
      <c r="I6" s="228"/>
      <c r="J6" s="228"/>
      <c r="K6" s="228"/>
      <c r="L6" s="228"/>
      <c r="Q6" s="426" t="s">
        <v>63</v>
      </c>
      <c r="R6" s="427"/>
    </row>
    <row r="7" spans="2:18" ht="18.75" customHeight="1" thickBot="1" x14ac:dyDescent="0.3">
      <c r="B7" s="296"/>
      <c r="C7" s="435" t="s">
        <v>162</v>
      </c>
      <c r="D7" s="436"/>
      <c r="E7" s="229"/>
      <c r="F7" s="229"/>
      <c r="G7" s="229"/>
      <c r="H7" s="229"/>
      <c r="I7" s="229"/>
      <c r="J7" s="229"/>
      <c r="K7" s="229"/>
      <c r="L7" s="229"/>
      <c r="O7" t="str">
        <f>Calcolo_Berechnung!B16</f>
        <v>1c</v>
      </c>
      <c r="Q7" s="2" t="s">
        <v>32</v>
      </c>
      <c r="R7">
        <v>1</v>
      </c>
    </row>
    <row r="8" spans="2:18" ht="18.75" customHeight="1" x14ac:dyDescent="0.25">
      <c r="B8" s="50" t="s">
        <v>13</v>
      </c>
      <c r="C8" s="50" t="s">
        <v>1</v>
      </c>
      <c r="D8" s="129" t="s">
        <v>1</v>
      </c>
      <c r="E8" s="228"/>
      <c r="F8" s="428"/>
      <c r="G8" s="428"/>
      <c r="H8" s="428"/>
      <c r="I8" s="428"/>
      <c r="J8" s="428"/>
      <c r="K8" s="428"/>
      <c r="L8" s="428"/>
      <c r="O8" t="str">
        <f>RIGHT(O7,1)</f>
        <v>c</v>
      </c>
      <c r="Q8" s="2" t="s">
        <v>31</v>
      </c>
      <c r="R8">
        <v>1</v>
      </c>
    </row>
    <row r="9" spans="2:18" ht="18.75" customHeight="1" thickBot="1" x14ac:dyDescent="0.3">
      <c r="B9" s="51" t="s">
        <v>51</v>
      </c>
      <c r="C9" s="52" t="s">
        <v>50</v>
      </c>
      <c r="D9" s="154" t="s">
        <v>34</v>
      </c>
      <c r="E9" s="230"/>
      <c r="F9" s="428"/>
      <c r="G9" s="428"/>
      <c r="H9" s="428"/>
      <c r="I9" s="428"/>
      <c r="J9" s="428"/>
      <c r="K9" s="428"/>
      <c r="L9" s="428"/>
      <c r="O9">
        <f>IF(ISERROR(VLOOKUP(O8,Q7:R15,2,FALSE)),"X",VLOOKUP(O8,Q7:R15,2,FALSE))</f>
        <v>1</v>
      </c>
      <c r="Q9" s="2" t="s">
        <v>60</v>
      </c>
      <c r="R9">
        <v>1</v>
      </c>
    </row>
    <row r="10" spans="2:18" ht="30" customHeight="1" x14ac:dyDescent="0.25">
      <c r="B10" s="55" t="s">
        <v>182</v>
      </c>
      <c r="C10" s="163">
        <v>0.02</v>
      </c>
      <c r="D10" s="207"/>
      <c r="E10" s="231"/>
      <c r="F10" s="231"/>
      <c r="G10" s="231"/>
      <c r="H10" s="231"/>
      <c r="I10" s="231"/>
      <c r="J10" s="231"/>
      <c r="K10" s="231"/>
      <c r="L10" s="231"/>
      <c r="O10" s="60">
        <f t="shared" ref="O10:O23" si="0">IF($O$9=1,C10,IF($O$9=2,D10,IF($O$9=3,E10,$R$20)))</f>
        <v>0.02</v>
      </c>
      <c r="Q10" s="2" t="s">
        <v>61</v>
      </c>
      <c r="R10">
        <v>1</v>
      </c>
    </row>
    <row r="11" spans="2:18" ht="30" customHeight="1" x14ac:dyDescent="0.25">
      <c r="B11" s="53" t="s">
        <v>112</v>
      </c>
      <c r="C11" s="165">
        <v>0.1</v>
      </c>
      <c r="D11" s="164">
        <v>0.15</v>
      </c>
      <c r="E11" s="231"/>
      <c r="F11" s="231"/>
      <c r="G11" s="231"/>
      <c r="H11" s="231"/>
      <c r="I11" s="231"/>
      <c r="J11" s="231"/>
      <c r="K11" s="231"/>
      <c r="L11" s="231"/>
      <c r="O11" s="60">
        <f t="shared" ref="O11" si="1">IF($O$9=1,C11,IF($O$9=2,D11,IF($O$9=3,E11,$R$20)))</f>
        <v>0.1</v>
      </c>
      <c r="Q11" s="2" t="s">
        <v>34</v>
      </c>
      <c r="R11">
        <v>2</v>
      </c>
    </row>
    <row r="12" spans="2:18" ht="30" customHeight="1" x14ac:dyDescent="0.25">
      <c r="B12" s="53" t="s">
        <v>113</v>
      </c>
      <c r="C12" s="165">
        <v>0.02</v>
      </c>
      <c r="D12" s="164">
        <v>0.05</v>
      </c>
      <c r="E12" s="231"/>
      <c r="F12" s="231"/>
      <c r="G12" s="231"/>
      <c r="H12" s="231"/>
      <c r="I12" s="231"/>
      <c r="J12" s="231"/>
      <c r="K12" s="231"/>
      <c r="L12" s="231"/>
      <c r="O12" s="60">
        <f t="shared" si="0"/>
        <v>0.02</v>
      </c>
      <c r="Q12" s="2" t="s">
        <v>34</v>
      </c>
      <c r="R12">
        <v>2</v>
      </c>
    </row>
    <row r="13" spans="2:18" ht="30" customHeight="1" x14ac:dyDescent="0.25">
      <c r="B13" s="53" t="s">
        <v>114</v>
      </c>
      <c r="C13" s="165">
        <v>0.18</v>
      </c>
      <c r="D13" s="164"/>
      <c r="E13" s="231"/>
      <c r="F13" s="231"/>
      <c r="G13" s="231"/>
      <c r="H13" s="231"/>
      <c r="I13" s="231"/>
      <c r="J13" s="231"/>
      <c r="K13" s="231"/>
      <c r="L13" s="231"/>
      <c r="O13" s="60">
        <f t="shared" si="0"/>
        <v>0.18</v>
      </c>
      <c r="Q13" s="2" t="s">
        <v>33</v>
      </c>
      <c r="R13">
        <v>3</v>
      </c>
    </row>
    <row r="14" spans="2:18" ht="30" customHeight="1" x14ac:dyDescent="0.25">
      <c r="B14" s="53" t="s">
        <v>116</v>
      </c>
      <c r="C14" s="165">
        <v>0.03</v>
      </c>
      <c r="D14" s="164"/>
      <c r="E14" s="231"/>
      <c r="F14" s="231"/>
      <c r="G14" s="231"/>
      <c r="H14" s="231"/>
      <c r="I14" s="231"/>
      <c r="J14" s="231"/>
      <c r="K14" s="231"/>
      <c r="L14" s="231"/>
      <c r="O14" s="60">
        <f t="shared" si="0"/>
        <v>0.03</v>
      </c>
      <c r="Q14" s="2" t="s">
        <v>30</v>
      </c>
      <c r="R14">
        <v>3</v>
      </c>
    </row>
    <row r="15" spans="2:18" ht="41.25" customHeight="1" x14ac:dyDescent="0.25">
      <c r="B15" s="53" t="s">
        <v>117</v>
      </c>
      <c r="C15" s="165">
        <v>0.27</v>
      </c>
      <c r="D15" s="164">
        <v>0.35</v>
      </c>
      <c r="E15" s="231"/>
      <c r="F15" s="231"/>
      <c r="G15" s="231"/>
      <c r="H15" s="231"/>
      <c r="I15" s="231"/>
      <c r="J15" s="231"/>
      <c r="K15" s="231"/>
      <c r="L15" s="231"/>
      <c r="O15" s="60">
        <f t="shared" si="0"/>
        <v>0.27</v>
      </c>
      <c r="Q15" s="2"/>
    </row>
    <row r="16" spans="2:18" ht="30" customHeight="1" x14ac:dyDescent="0.25">
      <c r="B16" s="53" t="s">
        <v>178</v>
      </c>
      <c r="C16" s="165">
        <v>0.04</v>
      </c>
      <c r="D16" s="164">
        <v>0.15</v>
      </c>
      <c r="E16" s="231"/>
      <c r="F16" s="231"/>
      <c r="G16" s="231"/>
      <c r="H16" s="231"/>
      <c r="I16" s="231"/>
      <c r="J16" s="231"/>
      <c r="K16" s="231"/>
      <c r="L16" s="231"/>
      <c r="O16" s="60">
        <f t="shared" si="0"/>
        <v>0.04</v>
      </c>
    </row>
    <row r="17" spans="2:18" ht="30" customHeight="1" x14ac:dyDescent="0.25">
      <c r="B17" s="53" t="s">
        <v>115</v>
      </c>
      <c r="C17" s="165">
        <v>0.32</v>
      </c>
      <c r="D17" s="164">
        <v>0.3</v>
      </c>
      <c r="E17" s="231"/>
      <c r="F17" s="231"/>
      <c r="G17" s="231"/>
      <c r="H17" s="231"/>
      <c r="I17" s="231"/>
      <c r="J17" s="231"/>
      <c r="K17" s="231"/>
      <c r="L17" s="231"/>
      <c r="O17" s="60">
        <f t="shared" si="0"/>
        <v>0.32</v>
      </c>
    </row>
    <row r="18" spans="2:18" ht="30" customHeight="1" thickBot="1" x14ac:dyDescent="0.3">
      <c r="B18" s="54" t="s">
        <v>177</v>
      </c>
      <c r="C18" s="166">
        <v>0.02</v>
      </c>
      <c r="D18" s="167"/>
      <c r="E18" s="231"/>
      <c r="F18" s="231"/>
      <c r="G18" s="231"/>
      <c r="H18" s="231"/>
      <c r="I18" s="231"/>
      <c r="J18" s="231"/>
      <c r="K18" s="231"/>
      <c r="L18" s="231"/>
      <c r="O18" s="60">
        <f t="shared" si="0"/>
        <v>0.02</v>
      </c>
    </row>
    <row r="19" spans="2:18" ht="17.850000000000001" customHeight="1" x14ac:dyDescent="0.25">
      <c r="B19" s="53"/>
      <c r="C19" s="165"/>
      <c r="D19" s="164"/>
      <c r="E19" s="231"/>
      <c r="F19" s="231"/>
      <c r="G19" s="231"/>
      <c r="H19" s="231"/>
      <c r="I19" s="231"/>
      <c r="J19" s="231"/>
      <c r="K19" s="231"/>
      <c r="L19" s="231"/>
      <c r="O19" s="60"/>
    </row>
    <row r="20" spans="2:18" ht="30" customHeight="1" x14ac:dyDescent="0.25">
      <c r="B20" s="53" t="s">
        <v>136</v>
      </c>
      <c r="C20" s="165">
        <v>0.12</v>
      </c>
      <c r="D20" s="164">
        <v>0.2</v>
      </c>
      <c r="E20" s="231"/>
      <c r="F20" s="231"/>
      <c r="G20" s="231"/>
      <c r="H20" s="231"/>
      <c r="I20" s="231"/>
      <c r="J20" s="231"/>
      <c r="K20" s="231"/>
      <c r="L20" s="231"/>
      <c r="O20" s="60">
        <f t="shared" si="0"/>
        <v>0.12</v>
      </c>
      <c r="Q20" s="2" t="s">
        <v>62</v>
      </c>
      <c r="R20" s="2" t="s">
        <v>64</v>
      </c>
    </row>
    <row r="21" spans="2:18" ht="30" customHeight="1" x14ac:dyDescent="0.25">
      <c r="B21" s="53" t="s">
        <v>180</v>
      </c>
      <c r="C21" s="165">
        <v>0.03</v>
      </c>
      <c r="D21" s="164">
        <v>0.03</v>
      </c>
      <c r="E21" s="231"/>
      <c r="F21" s="231"/>
      <c r="G21" s="231"/>
      <c r="H21" s="231"/>
      <c r="I21" s="231"/>
      <c r="J21" s="231"/>
      <c r="K21" s="231"/>
      <c r="L21" s="231"/>
      <c r="O21" s="60">
        <f t="shared" ref="O21" si="2">IF($O$9=1,C21,IF($O$9=2,D21,IF($O$9=3,E21,$R$20)))</f>
        <v>0.03</v>
      </c>
    </row>
    <row r="22" spans="2:18" ht="30" customHeight="1" x14ac:dyDescent="0.25">
      <c r="B22" s="53" t="s">
        <v>181</v>
      </c>
      <c r="C22" s="165">
        <v>0.14000000000000001</v>
      </c>
      <c r="D22" s="164">
        <v>0.1</v>
      </c>
      <c r="E22" s="231"/>
      <c r="F22" s="231"/>
      <c r="G22" s="231"/>
      <c r="H22" s="231"/>
      <c r="I22" s="231"/>
      <c r="J22" s="231"/>
      <c r="K22" s="231"/>
      <c r="L22" s="231"/>
      <c r="O22" s="60">
        <f t="shared" si="0"/>
        <v>0.14000000000000001</v>
      </c>
    </row>
    <row r="23" spans="2:18" ht="14.25" customHeight="1" thickBot="1" x14ac:dyDescent="0.3">
      <c r="B23" s="54"/>
      <c r="C23" s="166"/>
      <c r="D23" s="167"/>
      <c r="E23" s="231"/>
      <c r="F23" s="231"/>
      <c r="G23" s="231"/>
      <c r="H23" s="231"/>
      <c r="I23" s="231"/>
      <c r="J23" s="231"/>
      <c r="K23" s="231"/>
      <c r="L23" s="231"/>
      <c r="O23" s="60">
        <f t="shared" si="0"/>
        <v>0</v>
      </c>
    </row>
    <row r="24" spans="2:18" ht="11.1" customHeight="1" x14ac:dyDescent="0.25">
      <c r="C24" s="60"/>
      <c r="N24" s="2"/>
      <c r="O24" s="2">
        <f>IF(O10&lt;&gt;R20,O10,R20)</f>
        <v>0.02</v>
      </c>
    </row>
    <row r="25" spans="2:18" ht="7.5" customHeight="1" x14ac:dyDescent="0.25">
      <c r="C25" s="177"/>
      <c r="D25" s="177"/>
      <c r="E25" s="177"/>
    </row>
    <row r="26" spans="2:18" ht="30" customHeight="1" x14ac:dyDescent="0.25">
      <c r="N26" s="2" t="s">
        <v>65</v>
      </c>
      <c r="O26" s="178">
        <f>SUM(O10:O23)</f>
        <v>1.29</v>
      </c>
    </row>
  </sheetData>
  <sheetProtection algorithmName="SHA-512" hashValue="vJv3Iutdt2+LN52b7cOt1AI2l77wCPramNju9psGJ6fUuyPokrZCcgqOgOJyoFyNJ8BNcs6dcHWGF3VlE6BRSw==" saltValue="hOf2N/cYDowDVg0h1sr1lg==" spinCount="100000" sheet="1" objects="1" scenarios="1"/>
  <mergeCells count="13">
    <mergeCell ref="B4:D4"/>
    <mergeCell ref="B3:D3"/>
    <mergeCell ref="B2:D2"/>
    <mergeCell ref="C7:D7"/>
    <mergeCell ref="C6:D6"/>
    <mergeCell ref="Q6:R6"/>
    <mergeCell ref="J8:J9"/>
    <mergeCell ref="K8:K9"/>
    <mergeCell ref="L8:L9"/>
    <mergeCell ref="F8:F9"/>
    <mergeCell ref="G8:G9"/>
    <mergeCell ref="H8:H9"/>
    <mergeCell ref="I8:I9"/>
  </mergeCells>
  <pageMargins left="0.70866141732283472" right="0.70866141732283472" top="0.78740157480314965" bottom="0.78740157480314965" header="0.31496062992125984" footer="0.31496062992125984"/>
  <pageSetup paperSize="9" scale="85" fitToWidth="0" fitToHeight="0" orientation="portrait" horizontalDpi="1200" verticalDpi="1200" r:id="rId1"/>
  <headerFooter>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Bozen&amp;RVersione aprile 2023
Version April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B1:O153"/>
  <sheetViews>
    <sheetView showGridLines="0" zoomScaleNormal="100" workbookViewId="0"/>
  </sheetViews>
  <sheetFormatPr baseColWidth="10" defaultColWidth="9.109375" defaultRowHeight="13.2" x14ac:dyDescent="0.25"/>
  <cols>
    <col min="1" max="1" width="3.5546875" style="35" customWidth="1"/>
    <col min="2" max="2" width="21.44140625" style="35" customWidth="1"/>
    <col min="3" max="3" width="17.109375" style="35" customWidth="1"/>
    <col min="4" max="4" width="37.109375" style="35" customWidth="1"/>
    <col min="5" max="5" width="3" style="34" customWidth="1"/>
    <col min="6" max="6" width="3.6640625" style="34" customWidth="1"/>
    <col min="7" max="7" width="17.5546875" style="36" hidden="1" customWidth="1"/>
    <col min="8" max="8" width="29.33203125" style="35" hidden="1" customWidth="1"/>
    <col min="9" max="9" width="23.6640625" style="35" customWidth="1"/>
    <col min="10" max="16384" width="9.109375" style="35"/>
  </cols>
  <sheetData>
    <row r="1" spans="2:9" ht="9" customHeight="1" thickBot="1" x14ac:dyDescent="0.3"/>
    <row r="2" spans="2:9" ht="26.25" customHeight="1" x14ac:dyDescent="0.4">
      <c r="B2" s="439" t="s">
        <v>46</v>
      </c>
      <c r="C2" s="440"/>
      <c r="D2" s="440"/>
      <c r="E2" s="441"/>
      <c r="F2" s="224"/>
    </row>
    <row r="3" spans="2:9" ht="25.5" customHeight="1" x14ac:dyDescent="0.25">
      <c r="B3" s="442" t="s">
        <v>45</v>
      </c>
      <c r="C3" s="443"/>
      <c r="D3" s="443"/>
      <c r="E3" s="444"/>
      <c r="F3" s="208"/>
    </row>
    <row r="4" spans="2:9" ht="8.25" customHeight="1" thickBot="1" x14ac:dyDescent="0.25">
      <c r="B4" s="300"/>
      <c r="C4" s="301"/>
      <c r="D4" s="301"/>
      <c r="E4" s="302"/>
      <c r="F4" s="210"/>
    </row>
    <row r="5" spans="2:9" ht="15" customHeight="1" x14ac:dyDescent="0.2">
      <c r="B5" s="445" t="s">
        <v>144</v>
      </c>
      <c r="C5" s="446"/>
      <c r="D5" s="446"/>
      <c r="E5" s="447"/>
      <c r="F5" s="210"/>
      <c r="I5" s="245"/>
    </row>
    <row r="6" spans="2:9" ht="10.199999999999999" x14ac:dyDescent="0.2">
      <c r="B6" s="445" t="s">
        <v>143</v>
      </c>
      <c r="C6" s="446"/>
      <c r="D6" s="446"/>
      <c r="E6" s="447"/>
      <c r="F6" s="210"/>
    </row>
    <row r="7" spans="2:9" ht="6" customHeight="1" x14ac:dyDescent="0.2">
      <c r="B7" s="209"/>
      <c r="C7" s="210"/>
      <c r="D7" s="210"/>
      <c r="E7" s="211"/>
      <c r="F7" s="210"/>
    </row>
    <row r="8" spans="2:9" s="38" customFormat="1" ht="10.199999999999999" x14ac:dyDescent="0.25">
      <c r="B8" s="212" t="s">
        <v>44</v>
      </c>
      <c r="C8" s="213" t="s">
        <v>43</v>
      </c>
      <c r="D8" s="214" t="s">
        <v>42</v>
      </c>
      <c r="E8" s="215"/>
      <c r="F8" s="225"/>
      <c r="G8" s="39"/>
    </row>
    <row r="9" spans="2:9" s="38" customFormat="1" ht="10.199999999999999" x14ac:dyDescent="0.25">
      <c r="B9" s="212" t="s">
        <v>41</v>
      </c>
      <c r="C9" s="213" t="s">
        <v>40</v>
      </c>
      <c r="D9" s="214" t="s">
        <v>39</v>
      </c>
      <c r="E9" s="215"/>
      <c r="F9" s="225"/>
      <c r="G9" s="41" t="s">
        <v>40</v>
      </c>
      <c r="H9" s="40" t="s">
        <v>39</v>
      </c>
    </row>
    <row r="10" spans="2:9" ht="10.199999999999999" hidden="1" x14ac:dyDescent="0.2">
      <c r="B10" s="252">
        <v>0</v>
      </c>
      <c r="C10" s="251">
        <v>0</v>
      </c>
      <c r="D10" s="269">
        <v>9.9999999999999992E-2</v>
      </c>
      <c r="E10" s="211"/>
      <c r="F10" s="210"/>
      <c r="G10" s="35">
        <v>0</v>
      </c>
      <c r="H10" s="37">
        <v>0.1</v>
      </c>
    </row>
    <row r="11" spans="2:9" ht="10.199999999999999" x14ac:dyDescent="0.2">
      <c r="B11" s="216"/>
      <c r="C11" s="217">
        <v>25000</v>
      </c>
      <c r="D11" s="269">
        <v>9.9999999999999992E-2</v>
      </c>
      <c r="E11" s="211"/>
      <c r="F11" s="210"/>
      <c r="G11" s="36">
        <f>C11</f>
        <v>25000</v>
      </c>
      <c r="H11" s="37">
        <f>D11</f>
        <v>9.9999999999999992E-2</v>
      </c>
    </row>
    <row r="12" spans="2:9" ht="10.199999999999999" x14ac:dyDescent="0.2">
      <c r="B12" s="218">
        <v>25000.01</v>
      </c>
      <c r="C12" s="217">
        <v>50000</v>
      </c>
      <c r="D12" s="269">
        <v>9.9699999999999997E-2</v>
      </c>
      <c r="E12" s="219"/>
      <c r="F12" s="226"/>
      <c r="G12" s="36">
        <f t="shared" ref="G12:G52" si="0">C12</f>
        <v>50000</v>
      </c>
      <c r="H12" s="37">
        <f t="shared" ref="H12:H52" si="1">D12</f>
        <v>9.9699999999999997E-2</v>
      </c>
    </row>
    <row r="13" spans="2:9" ht="22.5" customHeight="1" x14ac:dyDescent="0.2">
      <c r="B13" s="218">
        <v>50000.01</v>
      </c>
      <c r="C13" s="217">
        <v>100000</v>
      </c>
      <c r="D13" s="269">
        <v>9.8999999999999991E-2</v>
      </c>
      <c r="E13" s="219"/>
      <c r="F13" s="226"/>
      <c r="G13" s="36">
        <f t="shared" si="0"/>
        <v>100000</v>
      </c>
      <c r="H13" s="37">
        <f t="shared" si="1"/>
        <v>9.8999999999999991E-2</v>
      </c>
    </row>
    <row r="14" spans="2:9" ht="10.199999999999999" x14ac:dyDescent="0.2">
      <c r="B14" s="218">
        <v>100000.01</v>
      </c>
      <c r="C14" s="217">
        <v>150000</v>
      </c>
      <c r="D14" s="269">
        <v>9.8299999999999998E-2</v>
      </c>
      <c r="E14" s="219"/>
      <c r="F14" s="226"/>
      <c r="G14" s="36">
        <f t="shared" si="0"/>
        <v>150000</v>
      </c>
      <c r="H14" s="37">
        <f t="shared" si="1"/>
        <v>9.8299999999999998E-2</v>
      </c>
    </row>
    <row r="15" spans="2:9" ht="10.199999999999999" x14ac:dyDescent="0.2">
      <c r="B15" s="218">
        <v>150000.01</v>
      </c>
      <c r="C15" s="217">
        <v>200000</v>
      </c>
      <c r="D15" s="269">
        <v>9.7600000000000006E-2</v>
      </c>
      <c r="E15" s="219"/>
      <c r="F15" s="226"/>
      <c r="G15" s="36">
        <f t="shared" si="0"/>
        <v>200000</v>
      </c>
      <c r="H15" s="37">
        <f t="shared" si="1"/>
        <v>9.7600000000000006E-2</v>
      </c>
    </row>
    <row r="16" spans="2:9" ht="10.199999999999999" x14ac:dyDescent="0.2">
      <c r="B16" s="218">
        <v>200000.01</v>
      </c>
      <c r="C16" s="217">
        <v>250000</v>
      </c>
      <c r="D16" s="269">
        <v>9.6699999999999994E-2</v>
      </c>
      <c r="E16" s="219"/>
      <c r="F16" s="226"/>
      <c r="G16" s="36">
        <f t="shared" si="0"/>
        <v>250000</v>
      </c>
      <c r="H16" s="37">
        <f t="shared" si="1"/>
        <v>9.6699999999999994E-2</v>
      </c>
    </row>
    <row r="17" spans="2:15" ht="10.199999999999999" x14ac:dyDescent="0.2">
      <c r="B17" s="218">
        <v>250000.01</v>
      </c>
      <c r="C17" s="217">
        <v>300000</v>
      </c>
      <c r="D17" s="269">
        <v>9.5299999999999996E-2</v>
      </c>
      <c r="E17" s="219"/>
      <c r="F17" s="226"/>
      <c r="G17" s="36">
        <f t="shared" si="0"/>
        <v>300000</v>
      </c>
      <c r="H17" s="37">
        <f t="shared" si="1"/>
        <v>9.5299999999999996E-2</v>
      </c>
    </row>
    <row r="18" spans="2:15" ht="10.199999999999999" x14ac:dyDescent="0.2">
      <c r="B18" s="218">
        <v>300000.01</v>
      </c>
      <c r="C18" s="217">
        <v>350000</v>
      </c>
      <c r="D18" s="269">
        <v>9.3999999999999986E-2</v>
      </c>
      <c r="E18" s="219"/>
      <c r="F18" s="226"/>
      <c r="G18" s="36">
        <f t="shared" si="0"/>
        <v>350000</v>
      </c>
      <c r="H18" s="37">
        <f t="shared" si="1"/>
        <v>9.3999999999999986E-2</v>
      </c>
    </row>
    <row r="19" spans="2:15" ht="10.199999999999999" x14ac:dyDescent="0.2">
      <c r="B19" s="218">
        <v>350000.01</v>
      </c>
      <c r="C19" s="217">
        <v>400000</v>
      </c>
      <c r="D19" s="269">
        <v>9.2700000000000005E-2</v>
      </c>
      <c r="E19" s="219"/>
      <c r="F19" s="226"/>
      <c r="G19" s="36">
        <f t="shared" si="0"/>
        <v>400000</v>
      </c>
      <c r="H19" s="37">
        <f t="shared" si="1"/>
        <v>9.2700000000000005E-2</v>
      </c>
    </row>
    <row r="20" spans="2:15" ht="10.199999999999999" x14ac:dyDescent="0.2">
      <c r="B20" s="218">
        <v>400000.01</v>
      </c>
      <c r="C20" s="217">
        <v>450000</v>
      </c>
      <c r="D20" s="269">
        <v>9.1300000000000006E-2</v>
      </c>
      <c r="E20" s="219"/>
      <c r="F20" s="226"/>
      <c r="G20" s="36">
        <f t="shared" si="0"/>
        <v>450000</v>
      </c>
      <c r="H20" s="37">
        <f t="shared" si="1"/>
        <v>9.1300000000000006E-2</v>
      </c>
      <c r="O20" s="56"/>
    </row>
    <row r="21" spans="2:15" ht="10.199999999999999" x14ac:dyDescent="0.2">
      <c r="B21" s="218">
        <v>450000.01</v>
      </c>
      <c r="C21" s="217">
        <v>500000</v>
      </c>
      <c r="D21" s="269">
        <v>9.0000000000000011E-2</v>
      </c>
      <c r="E21" s="219"/>
      <c r="F21" s="226"/>
      <c r="G21" s="36">
        <f t="shared" si="0"/>
        <v>500000</v>
      </c>
      <c r="H21" s="37">
        <f t="shared" si="1"/>
        <v>9.0000000000000011E-2</v>
      </c>
    </row>
    <row r="22" spans="2:15" ht="22.5" customHeight="1" x14ac:dyDescent="0.2">
      <c r="B22" s="218">
        <v>500000.01</v>
      </c>
      <c r="C22" s="217">
        <v>1000000</v>
      </c>
      <c r="D22" s="269">
        <v>8.7300000000000003E-2</v>
      </c>
      <c r="E22" s="219"/>
      <c r="F22" s="226"/>
      <c r="G22" s="36">
        <f t="shared" si="0"/>
        <v>1000000</v>
      </c>
      <c r="H22" s="37">
        <f t="shared" si="1"/>
        <v>8.7300000000000003E-2</v>
      </c>
    </row>
    <row r="23" spans="2:15" ht="10.199999999999999" x14ac:dyDescent="0.2">
      <c r="B23" s="218">
        <v>1000000.01</v>
      </c>
      <c r="C23" s="217">
        <v>1500000</v>
      </c>
      <c r="D23" s="269">
        <v>8.4699999999999998E-2</v>
      </c>
      <c r="E23" s="219"/>
      <c r="F23" s="226"/>
      <c r="G23" s="36">
        <f t="shared" si="0"/>
        <v>1500000</v>
      </c>
      <c r="H23" s="37">
        <f t="shared" si="1"/>
        <v>8.4699999999999998E-2</v>
      </c>
    </row>
    <row r="24" spans="2:15" ht="10.199999999999999" x14ac:dyDescent="0.2">
      <c r="B24" s="218">
        <v>1500000.01</v>
      </c>
      <c r="C24" s="217">
        <v>2000000</v>
      </c>
      <c r="D24" s="269">
        <v>8.2299999999999998E-2</v>
      </c>
      <c r="E24" s="219"/>
      <c r="F24" s="226"/>
      <c r="G24" s="36">
        <f t="shared" si="0"/>
        <v>2000000</v>
      </c>
      <c r="H24" s="37">
        <f t="shared" si="1"/>
        <v>8.2299999999999998E-2</v>
      </c>
    </row>
    <row r="25" spans="2:15" ht="10.199999999999999" x14ac:dyDescent="0.2">
      <c r="B25" s="218">
        <v>2000000.01</v>
      </c>
      <c r="C25" s="217">
        <v>2500000</v>
      </c>
      <c r="D25" s="269">
        <v>8.0299999999999996E-2</v>
      </c>
      <c r="E25" s="219"/>
      <c r="F25" s="226"/>
      <c r="G25" s="36">
        <f t="shared" si="0"/>
        <v>2500000</v>
      </c>
      <c r="H25" s="37">
        <f t="shared" si="1"/>
        <v>8.0299999999999996E-2</v>
      </c>
    </row>
    <row r="26" spans="2:15" ht="22.5" customHeight="1" x14ac:dyDescent="0.2">
      <c r="B26" s="218">
        <v>2500000.0099999998</v>
      </c>
      <c r="C26" s="217">
        <v>3000000</v>
      </c>
      <c r="D26" s="269">
        <v>7.8700000000000006E-2</v>
      </c>
      <c r="E26" s="219"/>
      <c r="F26" s="226"/>
      <c r="G26" s="36">
        <f t="shared" si="0"/>
        <v>3000000</v>
      </c>
      <c r="H26" s="37">
        <f t="shared" si="1"/>
        <v>7.8700000000000006E-2</v>
      </c>
    </row>
    <row r="27" spans="2:15" ht="10.199999999999999" x14ac:dyDescent="0.2">
      <c r="B27" s="218">
        <v>3000000.01</v>
      </c>
      <c r="C27" s="217">
        <v>3500000</v>
      </c>
      <c r="D27" s="269">
        <v>7.7299999999999994E-2</v>
      </c>
      <c r="E27" s="219"/>
      <c r="F27" s="226"/>
      <c r="G27" s="36">
        <f t="shared" si="0"/>
        <v>3500000</v>
      </c>
      <c r="H27" s="37">
        <f t="shared" si="1"/>
        <v>7.7299999999999994E-2</v>
      </c>
    </row>
    <row r="28" spans="2:15" ht="10.199999999999999" x14ac:dyDescent="0.2">
      <c r="B28" s="218">
        <v>3500000.01</v>
      </c>
      <c r="C28" s="217">
        <v>4000000</v>
      </c>
      <c r="D28" s="269">
        <v>7.5999999999999998E-2</v>
      </c>
      <c r="E28" s="219"/>
      <c r="F28" s="226"/>
      <c r="G28" s="36">
        <f t="shared" si="0"/>
        <v>4000000</v>
      </c>
      <c r="H28" s="37">
        <f t="shared" si="1"/>
        <v>7.5999999999999998E-2</v>
      </c>
    </row>
    <row r="29" spans="2:15" ht="10.199999999999999" x14ac:dyDescent="0.2">
      <c r="B29" s="218">
        <v>4000000.01</v>
      </c>
      <c r="C29" s="217">
        <v>4500000</v>
      </c>
      <c r="D29" s="269">
        <v>7.4700000000000003E-2</v>
      </c>
      <c r="E29" s="219"/>
      <c r="F29" s="226"/>
      <c r="G29" s="36">
        <f t="shared" si="0"/>
        <v>4500000</v>
      </c>
      <c r="H29" s="37">
        <f t="shared" si="1"/>
        <v>7.4700000000000003E-2</v>
      </c>
    </row>
    <row r="30" spans="2:15" ht="10.199999999999999" x14ac:dyDescent="0.2">
      <c r="B30" s="218">
        <v>4500000.01</v>
      </c>
      <c r="C30" s="217">
        <v>5000000</v>
      </c>
      <c r="D30" s="269">
        <v>7.3300000000000004E-2</v>
      </c>
      <c r="E30" s="219"/>
      <c r="F30" s="226"/>
      <c r="G30" s="36">
        <f t="shared" si="0"/>
        <v>5000000</v>
      </c>
      <c r="H30" s="37">
        <f t="shared" si="1"/>
        <v>7.3300000000000004E-2</v>
      </c>
    </row>
    <row r="31" spans="2:15" ht="22.5" customHeight="1" x14ac:dyDescent="0.2">
      <c r="B31" s="218">
        <v>5000000.01</v>
      </c>
      <c r="C31" s="217">
        <v>6000000</v>
      </c>
      <c r="D31" s="269">
        <v>7.0699999999999999E-2</v>
      </c>
      <c r="E31" s="219"/>
      <c r="F31" s="226"/>
      <c r="G31" s="36">
        <f t="shared" si="0"/>
        <v>6000000</v>
      </c>
      <c r="H31" s="37">
        <f t="shared" si="1"/>
        <v>7.0699999999999999E-2</v>
      </c>
    </row>
    <row r="32" spans="2:15" ht="10.199999999999999" x14ac:dyDescent="0.2">
      <c r="B32" s="218">
        <v>6000000.0099999998</v>
      </c>
      <c r="C32" s="217">
        <v>7000000</v>
      </c>
      <c r="D32" s="269">
        <v>6.7999999999999991E-2</v>
      </c>
      <c r="E32" s="219"/>
      <c r="F32" s="226"/>
      <c r="G32" s="36">
        <f t="shared" si="0"/>
        <v>7000000</v>
      </c>
      <c r="H32" s="37">
        <f t="shared" si="1"/>
        <v>6.7999999999999991E-2</v>
      </c>
    </row>
    <row r="33" spans="2:8" ht="10.199999999999999" x14ac:dyDescent="0.2">
      <c r="B33" s="218">
        <v>7000000.0099999998</v>
      </c>
      <c r="C33" s="217">
        <v>8000000</v>
      </c>
      <c r="D33" s="269">
        <v>6.5299999999999997E-2</v>
      </c>
      <c r="E33" s="219"/>
      <c r="F33" s="226"/>
      <c r="G33" s="36">
        <f t="shared" si="0"/>
        <v>8000000</v>
      </c>
      <c r="H33" s="37">
        <f t="shared" si="1"/>
        <v>6.5299999999999997E-2</v>
      </c>
    </row>
    <row r="34" spans="2:8" ht="10.199999999999999" x14ac:dyDescent="0.2">
      <c r="B34" s="218">
        <v>8000000.0099999998</v>
      </c>
      <c r="C34" s="217">
        <v>9000000</v>
      </c>
      <c r="D34" s="269">
        <v>6.2700000000000006E-2</v>
      </c>
      <c r="E34" s="219"/>
      <c r="F34" s="226"/>
      <c r="G34" s="36">
        <f t="shared" si="0"/>
        <v>9000000</v>
      </c>
      <c r="H34" s="37">
        <f t="shared" si="1"/>
        <v>6.2700000000000006E-2</v>
      </c>
    </row>
    <row r="35" spans="2:8" ht="10.199999999999999" x14ac:dyDescent="0.2">
      <c r="B35" s="218">
        <v>9000000.0099999998</v>
      </c>
      <c r="C35" s="217">
        <v>10000000</v>
      </c>
      <c r="D35" s="269">
        <v>0.06</v>
      </c>
      <c r="E35" s="219"/>
      <c r="F35" s="226"/>
      <c r="G35" s="36">
        <f t="shared" si="0"/>
        <v>10000000</v>
      </c>
      <c r="H35" s="37">
        <f t="shared" si="1"/>
        <v>0.06</v>
      </c>
    </row>
    <row r="36" spans="2:8" ht="22.5" customHeight="1" x14ac:dyDescent="0.2">
      <c r="B36" s="218">
        <v>10000000.01</v>
      </c>
      <c r="C36" s="217">
        <v>12500000</v>
      </c>
      <c r="D36" s="269">
        <v>5.7299999999999997E-2</v>
      </c>
      <c r="E36" s="219"/>
      <c r="F36" s="226"/>
      <c r="G36" s="36">
        <f t="shared" si="0"/>
        <v>12500000</v>
      </c>
      <c r="H36" s="37">
        <f t="shared" si="1"/>
        <v>5.7299999999999997E-2</v>
      </c>
    </row>
    <row r="37" spans="2:8" ht="10.199999999999999" x14ac:dyDescent="0.2">
      <c r="B37" s="218">
        <v>12500000.01</v>
      </c>
      <c r="C37" s="217">
        <v>15000000</v>
      </c>
      <c r="D37" s="269">
        <v>5.4699999999999999E-2</v>
      </c>
      <c r="E37" s="219"/>
      <c r="F37" s="226"/>
      <c r="G37" s="36">
        <f t="shared" si="0"/>
        <v>15000000</v>
      </c>
      <c r="H37" s="37">
        <f t="shared" si="1"/>
        <v>5.4699999999999999E-2</v>
      </c>
    </row>
    <row r="38" spans="2:8" ht="10.199999999999999" x14ac:dyDescent="0.2">
      <c r="B38" s="218">
        <v>15000000.01</v>
      </c>
      <c r="C38" s="217">
        <v>17500000</v>
      </c>
      <c r="D38" s="269">
        <v>5.1999999999999998E-2</v>
      </c>
      <c r="E38" s="219"/>
      <c r="F38" s="226"/>
      <c r="G38" s="36">
        <f t="shared" si="0"/>
        <v>17500000</v>
      </c>
      <c r="H38" s="37">
        <f t="shared" si="1"/>
        <v>5.1999999999999998E-2</v>
      </c>
    </row>
    <row r="39" spans="2:8" ht="10.199999999999999" x14ac:dyDescent="0.2">
      <c r="B39" s="218">
        <v>17500000.010000002</v>
      </c>
      <c r="C39" s="217">
        <v>20000000</v>
      </c>
      <c r="D39" s="269">
        <v>4.9299999999999997E-2</v>
      </c>
      <c r="E39" s="219"/>
      <c r="F39" s="226"/>
      <c r="G39" s="36">
        <f t="shared" si="0"/>
        <v>20000000</v>
      </c>
      <c r="H39" s="37">
        <f t="shared" si="1"/>
        <v>4.9299999999999997E-2</v>
      </c>
    </row>
    <row r="40" spans="2:8" ht="10.199999999999999" x14ac:dyDescent="0.2">
      <c r="B40" s="218">
        <v>20000000.010000002</v>
      </c>
      <c r="C40" s="217">
        <v>22500000</v>
      </c>
      <c r="D40" s="269">
        <v>4.6699999999999998E-2</v>
      </c>
      <c r="E40" s="219"/>
      <c r="F40" s="226"/>
      <c r="G40" s="36">
        <f t="shared" si="0"/>
        <v>22500000</v>
      </c>
      <c r="H40" s="37">
        <f t="shared" si="1"/>
        <v>4.6699999999999998E-2</v>
      </c>
    </row>
    <row r="41" spans="2:8" ht="10.199999999999999" x14ac:dyDescent="0.2">
      <c r="B41" s="218">
        <v>22500000.010000002</v>
      </c>
      <c r="C41" s="217">
        <v>25000000</v>
      </c>
      <c r="D41" s="269">
        <v>4.4000000000000004E-2</v>
      </c>
      <c r="E41" s="219"/>
      <c r="F41" s="226"/>
      <c r="G41" s="36">
        <f t="shared" si="0"/>
        <v>25000000</v>
      </c>
      <c r="H41" s="37">
        <f t="shared" si="1"/>
        <v>4.4000000000000004E-2</v>
      </c>
    </row>
    <row r="42" spans="2:8" ht="22.5" customHeight="1" x14ac:dyDescent="0.2">
      <c r="B42" s="218">
        <v>25000000.010000002</v>
      </c>
      <c r="C42" s="217">
        <v>30000000</v>
      </c>
      <c r="D42" s="269">
        <v>4.1300000000000003E-2</v>
      </c>
      <c r="E42" s="219"/>
      <c r="F42" s="226"/>
      <c r="G42" s="36">
        <f t="shared" si="0"/>
        <v>30000000</v>
      </c>
      <c r="H42" s="37">
        <f t="shared" si="1"/>
        <v>4.1300000000000003E-2</v>
      </c>
    </row>
    <row r="43" spans="2:8" ht="10.199999999999999" x14ac:dyDescent="0.2">
      <c r="B43" s="218">
        <v>30000000.010000002</v>
      </c>
      <c r="C43" s="217">
        <v>35000000</v>
      </c>
      <c r="D43" s="269">
        <v>3.9300000000000002E-2</v>
      </c>
      <c r="E43" s="219"/>
      <c r="F43" s="226"/>
      <c r="G43" s="36">
        <f t="shared" si="0"/>
        <v>35000000</v>
      </c>
      <c r="H43" s="37">
        <f t="shared" si="1"/>
        <v>3.9300000000000002E-2</v>
      </c>
    </row>
    <row r="44" spans="2:8" ht="10.199999999999999" x14ac:dyDescent="0.2">
      <c r="B44" s="218">
        <v>35000000.009999998</v>
      </c>
      <c r="C44" s="217">
        <v>40000000</v>
      </c>
      <c r="D44" s="269">
        <v>3.73E-2</v>
      </c>
      <c r="E44" s="219"/>
      <c r="F44" s="226"/>
      <c r="G44" s="36">
        <f t="shared" si="0"/>
        <v>40000000</v>
      </c>
      <c r="H44" s="37">
        <f t="shared" si="1"/>
        <v>3.73E-2</v>
      </c>
    </row>
    <row r="45" spans="2:8" ht="10.199999999999999" x14ac:dyDescent="0.2">
      <c r="B45" s="218">
        <v>40000000.009999998</v>
      </c>
      <c r="C45" s="217">
        <v>45000000</v>
      </c>
      <c r="D45" s="269">
        <v>3.5299999999999998E-2</v>
      </c>
      <c r="E45" s="219"/>
      <c r="F45" s="226"/>
      <c r="G45" s="36">
        <f t="shared" si="0"/>
        <v>45000000</v>
      </c>
      <c r="H45" s="37">
        <f t="shared" si="1"/>
        <v>3.5299999999999998E-2</v>
      </c>
    </row>
    <row r="46" spans="2:8" ht="10.199999999999999" x14ac:dyDescent="0.2">
      <c r="B46" s="218">
        <v>45000000.009999998</v>
      </c>
      <c r="C46" s="217">
        <v>50000000</v>
      </c>
      <c r="D46" s="269">
        <v>3.3300000000000003E-2</v>
      </c>
      <c r="E46" s="219"/>
      <c r="F46" s="226"/>
      <c r="G46" s="36">
        <f t="shared" si="0"/>
        <v>50000000</v>
      </c>
      <c r="H46" s="37">
        <f t="shared" si="1"/>
        <v>3.3300000000000003E-2</v>
      </c>
    </row>
    <row r="47" spans="2:8" ht="22.5" customHeight="1" x14ac:dyDescent="0.2">
      <c r="B47" s="218">
        <v>50000000.009999998</v>
      </c>
      <c r="C47" s="217">
        <v>55000000</v>
      </c>
      <c r="D47" s="269">
        <v>0.03</v>
      </c>
      <c r="E47" s="219"/>
      <c r="F47" s="226"/>
      <c r="G47" s="36">
        <f t="shared" si="0"/>
        <v>55000000</v>
      </c>
      <c r="H47" s="37">
        <f t="shared" si="1"/>
        <v>0.03</v>
      </c>
    </row>
    <row r="48" spans="2:8" ht="10.199999999999999" x14ac:dyDescent="0.2">
      <c r="B48" s="218">
        <v>55000000.009999998</v>
      </c>
      <c r="C48" s="217">
        <v>60000000</v>
      </c>
      <c r="D48" s="269">
        <v>2.6700000000000002E-2</v>
      </c>
      <c r="E48" s="219"/>
      <c r="F48" s="226"/>
      <c r="G48" s="36">
        <f t="shared" si="0"/>
        <v>60000000</v>
      </c>
      <c r="H48" s="37">
        <f t="shared" si="1"/>
        <v>2.6700000000000002E-2</v>
      </c>
    </row>
    <row r="49" spans="2:8" ht="10.199999999999999" x14ac:dyDescent="0.2">
      <c r="B49" s="218">
        <v>60000000.009999998</v>
      </c>
      <c r="C49" s="217">
        <v>65000000</v>
      </c>
      <c r="D49" s="269">
        <v>2.3300000000000001E-2</v>
      </c>
      <c r="E49" s="219"/>
      <c r="F49" s="226"/>
      <c r="G49" s="36">
        <f t="shared" si="0"/>
        <v>65000000</v>
      </c>
      <c r="H49" s="37">
        <f t="shared" si="1"/>
        <v>2.3300000000000001E-2</v>
      </c>
    </row>
    <row r="50" spans="2:8" ht="10.199999999999999" x14ac:dyDescent="0.2">
      <c r="B50" s="218">
        <v>65000000.009999998</v>
      </c>
      <c r="C50" s="217">
        <v>70000000</v>
      </c>
      <c r="D50" s="269">
        <v>0.02</v>
      </c>
      <c r="E50" s="219"/>
      <c r="F50" s="226"/>
      <c r="G50" s="36">
        <f t="shared" si="0"/>
        <v>70000000</v>
      </c>
      <c r="H50" s="37">
        <f t="shared" si="1"/>
        <v>0.02</v>
      </c>
    </row>
    <row r="51" spans="2:8" ht="10.199999999999999" x14ac:dyDescent="0.2">
      <c r="B51" s="218">
        <v>70000000.010000005</v>
      </c>
      <c r="C51" s="217">
        <v>75000000</v>
      </c>
      <c r="D51" s="269">
        <v>1.67E-2</v>
      </c>
      <c r="E51" s="219"/>
      <c r="F51" s="226"/>
      <c r="G51" s="36">
        <f t="shared" si="0"/>
        <v>75000000</v>
      </c>
      <c r="H51" s="37">
        <f t="shared" si="1"/>
        <v>1.67E-2</v>
      </c>
    </row>
    <row r="52" spans="2:8" ht="10.199999999999999" x14ac:dyDescent="0.2">
      <c r="B52" s="218">
        <v>75000000.010000005</v>
      </c>
      <c r="C52" s="220" t="s">
        <v>38</v>
      </c>
      <c r="D52" s="269">
        <v>1.67E-2</v>
      </c>
      <c r="E52" s="219"/>
      <c r="F52" s="226"/>
      <c r="G52" s="36" t="str">
        <f t="shared" si="0"/>
        <v>e oltre / und darüber</v>
      </c>
      <c r="H52" s="37">
        <f t="shared" si="1"/>
        <v>1.67E-2</v>
      </c>
    </row>
    <row r="53" spans="2:8" ht="3.75" customHeight="1" x14ac:dyDescent="0.2">
      <c r="B53" s="209"/>
      <c r="C53" s="210"/>
      <c r="D53" s="210"/>
      <c r="E53" s="211"/>
      <c r="F53" s="210"/>
    </row>
    <row r="54" spans="2:8" ht="3" customHeight="1" thickBot="1" x14ac:dyDescent="0.25">
      <c r="B54" s="221"/>
      <c r="C54" s="222"/>
      <c r="D54" s="222"/>
      <c r="E54" s="223"/>
      <c r="F54" s="210"/>
    </row>
    <row r="55" spans="2:8" ht="10.199999999999999" x14ac:dyDescent="0.2">
      <c r="E55" s="35"/>
      <c r="F55" s="35"/>
    </row>
    <row r="56" spans="2:8" ht="10.199999999999999" x14ac:dyDescent="0.2">
      <c r="E56" s="35"/>
      <c r="F56" s="35"/>
    </row>
    <row r="57" spans="2:8" ht="10.199999999999999" x14ac:dyDescent="0.2">
      <c r="E57" s="35"/>
      <c r="F57" s="35"/>
    </row>
    <row r="58" spans="2:8" ht="10.199999999999999" x14ac:dyDescent="0.2">
      <c r="E58" s="35"/>
      <c r="F58" s="35"/>
    </row>
    <row r="59" spans="2:8" ht="10.199999999999999" x14ac:dyDescent="0.2">
      <c r="E59" s="35"/>
      <c r="F59" s="35"/>
    </row>
    <row r="60" spans="2:8" ht="10.199999999999999" x14ac:dyDescent="0.2">
      <c r="E60" s="35"/>
      <c r="F60" s="35"/>
    </row>
    <row r="61" spans="2:8" ht="10.199999999999999" x14ac:dyDescent="0.2">
      <c r="E61" s="35"/>
      <c r="F61" s="35"/>
    </row>
    <row r="62" spans="2:8" ht="10.199999999999999" x14ac:dyDescent="0.2">
      <c r="E62" s="35"/>
      <c r="F62" s="35"/>
    </row>
    <row r="63" spans="2:8" ht="10.199999999999999" x14ac:dyDescent="0.2">
      <c r="E63" s="35"/>
      <c r="F63" s="35"/>
    </row>
    <row r="64" spans="2:8" ht="10.199999999999999" x14ac:dyDescent="0.2">
      <c r="E64" s="35"/>
      <c r="F64" s="35"/>
    </row>
    <row r="65" s="35" customFormat="1" ht="10.199999999999999" x14ac:dyDescent="0.2"/>
    <row r="66" s="35" customFormat="1" ht="10.199999999999999" x14ac:dyDescent="0.2"/>
    <row r="67" s="35" customFormat="1" ht="10.199999999999999" x14ac:dyDescent="0.2"/>
    <row r="68" s="35" customFormat="1" ht="10.199999999999999" x14ac:dyDescent="0.2"/>
    <row r="69" s="35" customFormat="1" ht="10.199999999999999" x14ac:dyDescent="0.2"/>
    <row r="70" s="35" customFormat="1" ht="10.199999999999999" x14ac:dyDescent="0.2"/>
    <row r="71" s="35" customFormat="1" ht="10.199999999999999" x14ac:dyDescent="0.2"/>
    <row r="72" s="35" customFormat="1" ht="10.199999999999999" x14ac:dyDescent="0.2"/>
    <row r="73" s="35" customFormat="1" ht="10.199999999999999" x14ac:dyDescent="0.2"/>
    <row r="74" s="35" customFormat="1" ht="10.199999999999999" x14ac:dyDescent="0.2"/>
    <row r="75" s="35" customFormat="1" ht="10.199999999999999" x14ac:dyDescent="0.2"/>
    <row r="76" s="35" customFormat="1" ht="10.199999999999999" x14ac:dyDescent="0.2"/>
    <row r="77" s="35" customFormat="1" ht="10.199999999999999" x14ac:dyDescent="0.2"/>
    <row r="78" s="35" customFormat="1" ht="10.199999999999999" x14ac:dyDescent="0.2"/>
    <row r="79" s="35" customFormat="1" ht="10.199999999999999" x14ac:dyDescent="0.2"/>
    <row r="80" s="35" customFormat="1" ht="10.199999999999999" x14ac:dyDescent="0.2"/>
    <row r="81" s="35" customFormat="1" ht="10.199999999999999" x14ac:dyDescent="0.2"/>
    <row r="82" s="35" customFormat="1" ht="10.199999999999999" x14ac:dyDescent="0.2"/>
    <row r="83" s="35" customFormat="1" ht="10.199999999999999" x14ac:dyDescent="0.2"/>
    <row r="84" s="35" customFormat="1" ht="10.199999999999999" x14ac:dyDescent="0.2"/>
    <row r="85" s="35" customFormat="1" ht="10.199999999999999" x14ac:dyDescent="0.2"/>
    <row r="86" s="35" customFormat="1" ht="10.199999999999999" x14ac:dyDescent="0.2"/>
    <row r="87" s="35" customFormat="1" ht="10.199999999999999" x14ac:dyDescent="0.2"/>
    <row r="88" s="35" customFormat="1" ht="10.199999999999999" x14ac:dyDescent="0.2"/>
    <row r="89" s="35" customFormat="1" ht="10.199999999999999" x14ac:dyDescent="0.2"/>
    <row r="90" s="35" customFormat="1" ht="10.199999999999999" x14ac:dyDescent="0.2"/>
    <row r="91" s="35" customFormat="1" ht="10.199999999999999" x14ac:dyDescent="0.2"/>
    <row r="92" s="35" customFormat="1" ht="10.199999999999999" x14ac:dyDescent="0.2"/>
    <row r="93" s="35" customFormat="1" ht="10.199999999999999" x14ac:dyDescent="0.2"/>
    <row r="94" s="35" customFormat="1" ht="10.199999999999999" x14ac:dyDescent="0.2"/>
    <row r="95" s="35" customFormat="1" ht="10.199999999999999" x14ac:dyDescent="0.2"/>
    <row r="96" s="35" customFormat="1" ht="10.199999999999999" x14ac:dyDescent="0.2"/>
    <row r="97" s="35" customFormat="1" ht="10.199999999999999" x14ac:dyDescent="0.2"/>
    <row r="98" s="35" customFormat="1" ht="10.199999999999999" x14ac:dyDescent="0.2"/>
    <row r="99" s="35" customFormat="1" ht="10.199999999999999" x14ac:dyDescent="0.2"/>
    <row r="100" s="35" customFormat="1" ht="10.199999999999999" x14ac:dyDescent="0.2"/>
    <row r="101" s="35" customFormat="1" ht="10.199999999999999" x14ac:dyDescent="0.2"/>
    <row r="102" s="35" customFormat="1" ht="10.199999999999999" x14ac:dyDescent="0.2"/>
    <row r="103" s="35" customFormat="1" ht="10.199999999999999" x14ac:dyDescent="0.2"/>
    <row r="104" s="35" customFormat="1" ht="10.199999999999999" x14ac:dyDescent="0.2"/>
    <row r="105" s="35" customFormat="1" ht="10.199999999999999" x14ac:dyDescent="0.2"/>
    <row r="106" s="35" customFormat="1" ht="10.199999999999999" x14ac:dyDescent="0.2"/>
    <row r="107" s="35" customFormat="1" ht="10.199999999999999" x14ac:dyDescent="0.2"/>
    <row r="108" s="35" customFormat="1" ht="10.199999999999999" x14ac:dyDescent="0.2"/>
    <row r="109" s="35" customFormat="1" ht="10.199999999999999" x14ac:dyDescent="0.2"/>
    <row r="110" s="35" customFormat="1" ht="10.199999999999999" x14ac:dyDescent="0.2"/>
    <row r="111" s="35" customFormat="1" ht="10.199999999999999" x14ac:dyDescent="0.2"/>
    <row r="112" s="35" customFormat="1" ht="10.199999999999999" x14ac:dyDescent="0.2"/>
    <row r="113" s="35" customFormat="1" ht="10.199999999999999" x14ac:dyDescent="0.2"/>
    <row r="114" s="35" customFormat="1" ht="10.199999999999999" x14ac:dyDescent="0.2"/>
    <row r="115" s="35" customFormat="1" ht="10.199999999999999" x14ac:dyDescent="0.2"/>
    <row r="116" s="35" customFormat="1" ht="10.199999999999999" x14ac:dyDescent="0.2"/>
    <row r="117" s="35" customFormat="1" ht="10.199999999999999" x14ac:dyDescent="0.2"/>
    <row r="118" s="35" customFormat="1" ht="10.199999999999999" x14ac:dyDescent="0.2"/>
    <row r="119" s="35" customFormat="1" ht="10.199999999999999" x14ac:dyDescent="0.2"/>
    <row r="120" s="35" customFormat="1" ht="10.199999999999999" x14ac:dyDescent="0.2"/>
    <row r="121" s="35" customFormat="1" ht="10.199999999999999" x14ac:dyDescent="0.2"/>
    <row r="122" s="35" customFormat="1" ht="10.199999999999999" x14ac:dyDescent="0.2"/>
    <row r="123" s="35" customFormat="1" ht="10.199999999999999" x14ac:dyDescent="0.2"/>
    <row r="124" s="35" customFormat="1" ht="10.199999999999999" x14ac:dyDescent="0.2"/>
    <row r="125" s="35" customFormat="1" ht="10.199999999999999" x14ac:dyDescent="0.2"/>
    <row r="126" s="35" customFormat="1" ht="10.199999999999999" x14ac:dyDescent="0.2"/>
    <row r="127" s="35" customFormat="1" ht="10.199999999999999" x14ac:dyDescent="0.2"/>
    <row r="128" s="35" customFormat="1" ht="10.199999999999999" x14ac:dyDescent="0.2"/>
    <row r="129" s="35" customFormat="1" ht="10.199999999999999" x14ac:dyDescent="0.2"/>
    <row r="130" s="35" customFormat="1" ht="10.199999999999999" x14ac:dyDescent="0.2"/>
    <row r="131" s="35" customFormat="1" ht="10.199999999999999" x14ac:dyDescent="0.2"/>
    <row r="132" s="35" customFormat="1" ht="10.199999999999999" x14ac:dyDescent="0.2"/>
    <row r="133" s="35" customFormat="1" ht="10.199999999999999" x14ac:dyDescent="0.2"/>
    <row r="134" s="35" customFormat="1" ht="10.199999999999999" x14ac:dyDescent="0.2"/>
    <row r="135" s="35" customFormat="1" ht="10.199999999999999" x14ac:dyDescent="0.2"/>
    <row r="136" s="35" customFormat="1" ht="10.199999999999999" x14ac:dyDescent="0.2"/>
    <row r="137" s="35" customFormat="1" ht="10.199999999999999" x14ac:dyDescent="0.2"/>
    <row r="138" s="35" customFormat="1" ht="10.199999999999999" x14ac:dyDescent="0.2"/>
    <row r="139" s="35" customFormat="1" ht="10.199999999999999" x14ac:dyDescent="0.2"/>
    <row r="140" s="35" customFormat="1" ht="10.199999999999999" x14ac:dyDescent="0.2"/>
    <row r="141" s="35" customFormat="1" ht="10.199999999999999" x14ac:dyDescent="0.2"/>
    <row r="142" s="35" customFormat="1" ht="10.199999999999999" x14ac:dyDescent="0.2"/>
    <row r="143" s="35" customFormat="1" ht="10.199999999999999" x14ac:dyDescent="0.2"/>
    <row r="144" s="35" customFormat="1" ht="10.199999999999999" x14ac:dyDescent="0.2"/>
    <row r="145" s="35" customFormat="1" ht="10.199999999999999" x14ac:dyDescent="0.2"/>
    <row r="146" s="35" customFormat="1" ht="10.199999999999999" x14ac:dyDescent="0.2"/>
    <row r="147" s="35" customFormat="1" ht="10.199999999999999" x14ac:dyDescent="0.2"/>
    <row r="148" s="35" customFormat="1" ht="10.199999999999999" x14ac:dyDescent="0.2"/>
    <row r="149" s="35" customFormat="1" ht="10.199999999999999" x14ac:dyDescent="0.2"/>
    <row r="150" s="35" customFormat="1" ht="10.199999999999999" x14ac:dyDescent="0.2"/>
    <row r="151" s="35" customFormat="1" ht="10.199999999999999" x14ac:dyDescent="0.2"/>
    <row r="152" s="35" customFormat="1" ht="10.199999999999999" x14ac:dyDescent="0.2"/>
    <row r="153" s="35" customFormat="1" ht="10.199999999999999" x14ac:dyDescent="0.2"/>
  </sheetData>
  <sheetProtection algorithmName="SHA-512" hashValue="Nvmpm1/uVz+AGk26GtZDG5agFjA/+mqAUH1VoRuEyJehF2BtwWbSf28bk2l6Cy8kIz/0nemJD5wgc6uI0DantQ==" saltValue="HYHxn+gn4FjUBkYvMjKOxQ==" spinCount="100000" sheet="1" objects="1" scenarios="1"/>
  <mergeCells count="4">
    <mergeCell ref="B2:E2"/>
    <mergeCell ref="B3:E3"/>
    <mergeCell ref="B6:E6"/>
    <mergeCell ref="B5:E5"/>
  </mergeCells>
  <pageMargins left="0.78740157480314965" right="0.78740157480314965" top="0.98425196850393704" bottom="0.98425196850393704" header="0.51181102362204722" footer="0.51181102362204722"/>
  <pageSetup paperSize="9" orientation="portrait" r:id="rId1"/>
  <headerFooter alignWithMargins="0">
    <oddHeader>&amp;LCalcolo dell' onorario per prestazioni di progettazione architettonica nell' edilizia privata
Honoarberechnung für architektonische Planungsleistungen im privaten Hochbau</oddHeader>
    <oddFooter>&amp;L&amp;9Ordine degli Architetti, Pianificatori, Paesaggisti, Conservatori della Provincia di Bolzano
Kammer der Architekten, Raumplaner, Landschaftsplaner, Denkmalpfleger der Provinz Bozen&amp;R&amp;9Versione aprile 2023
Version April 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Calcolo_Berechnung</vt:lpstr>
      <vt:lpstr>Categorie_Kategorien</vt:lpstr>
      <vt:lpstr>TabA</vt:lpstr>
      <vt:lpstr>TabB</vt:lpstr>
      <vt:lpstr>TabS</vt:lpstr>
      <vt:lpstr>cat</vt:lpstr>
      <vt:lpstr>Calcolo_Berechnung!Druckbereich</vt:lpstr>
      <vt:lpstr>Categorie_Kategorien!Druckbereich</vt:lpstr>
      <vt:lpstr>TabA!Druckbereich</vt:lpstr>
      <vt:lpstr>TabB!Druckbereich</vt:lpstr>
      <vt:lpstr>TabS!Druckbereich</vt:lpstr>
      <vt:lpstr>spese</vt:lpstr>
    </vt:vector>
  </TitlesOfParts>
  <Company>CNG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ordine-arch-bz-kammer</dc:creator>
  <cp:lastModifiedBy>win6</cp:lastModifiedBy>
  <cp:lastPrinted>2023-04-25T11:47:11Z</cp:lastPrinted>
  <dcterms:created xsi:type="dcterms:W3CDTF">2002-01-18T11:32:16Z</dcterms:created>
  <dcterms:modified xsi:type="dcterms:W3CDTF">2023-05-02T05:00:54Z</dcterms:modified>
</cp:coreProperties>
</file>