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olfgangthaler-my.sharepoint.com/personal/arch_wolfgangthaler_com/Documents/02_Kammer/04_Projekte_Vorstand/11_Honorartabelle_DFP/"/>
    </mc:Choice>
  </mc:AlternateContent>
  <xr:revisionPtr revIDLastSave="20" documentId="11_033056F2D1A1609D6883672FE2AB04CC4A751B52" xr6:coauthVersionLast="47" xr6:coauthVersionMax="47" xr10:uidLastSave="{2117C85F-14B0-4D8C-BB19-45EC4A5CD9F0}"/>
  <bookViews>
    <workbookView xWindow="-120" yWindow="-120" windowWidth="29040" windowHeight="15720" tabRatio="824" xr2:uid="{00000000-000D-0000-FFFF-FFFF00000000}"/>
  </bookViews>
  <sheets>
    <sheet name="Calcolo_PdA_Berechnung_DFP" sheetId="2" r:id="rId1"/>
    <sheet name="Tab. PdA_DFP" sheetId="11" r:id="rId2"/>
  </sheets>
  <definedNames>
    <definedName name="BLPTab10">#REF!</definedName>
    <definedName name="BLPTabA">#REF!</definedName>
    <definedName name="cat">#REF!</definedName>
    <definedName name="DBFTab10">'Tab. PdA_DFP'!$L$16:$P$31</definedName>
    <definedName name="_xlnm.Print_Area" localSheetId="0">Calcolo_PdA_Berechnung_DFP!$B$2:$O$113</definedName>
    <definedName name="_xlnm.Print_Titles" localSheetId="0">Calcolo_PdA_Berechnung_DFP!$2:$12</definedName>
    <definedName name="Gemeinden">#REF!</definedName>
    <definedName name="spe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1" l="1"/>
  <c r="L95" i="2" l="1"/>
  <c r="O95" i="2" s="1"/>
  <c r="E20" i="2"/>
  <c r="B108" i="2" l="1"/>
  <c r="B110" i="2" l="1"/>
  <c r="B106" i="2"/>
  <c r="A94" i="2"/>
  <c r="O97" i="2" l="1"/>
  <c r="O100" i="2"/>
  <c r="O101" i="2" l="1"/>
  <c r="O110" i="2" s="1"/>
  <c r="B29" i="2"/>
  <c r="B32" i="2" s="1"/>
  <c r="F32" i="2"/>
  <c r="E29" i="2"/>
  <c r="B35" i="2" s="1"/>
  <c r="L14" i="2"/>
  <c r="G2" i="11"/>
  <c r="G5" i="11" s="1"/>
  <c r="B68" i="2"/>
  <c r="B70" i="2" s="1"/>
  <c r="F70" i="2"/>
  <c r="E68" i="2"/>
  <c r="B73" i="2" s="1"/>
  <c r="G28" i="11"/>
  <c r="O21" i="2"/>
  <c r="G37" i="11"/>
  <c r="G4" i="11"/>
  <c r="G12" i="11"/>
  <c r="A64" i="2"/>
  <c r="E21" i="2"/>
  <c r="F73" i="2" l="1"/>
  <c r="F35" i="2"/>
  <c r="G32" i="11"/>
  <c r="G31" i="11"/>
  <c r="G6" i="11"/>
  <c r="G35" i="11"/>
  <c r="G9" i="11"/>
  <c r="G36" i="11"/>
  <c r="G10" i="11"/>
  <c r="G11" i="11"/>
  <c r="G29" i="11"/>
  <c r="G30" i="11"/>
  <c r="G7" i="11"/>
  <c r="G34" i="11"/>
  <c r="G33" i="11"/>
  <c r="G8" i="11"/>
  <c r="H68" i="2" l="1"/>
  <c r="H70" i="2" s="1"/>
  <c r="O70" i="2" s="1"/>
  <c r="J29" i="2"/>
  <c r="H35" i="2" s="1"/>
  <c r="O35" i="2" s="1"/>
  <c r="H73" i="2" l="1"/>
  <c r="O73" i="2" s="1"/>
  <c r="H32" i="2"/>
  <c r="O32" i="2" s="1"/>
  <c r="O37" i="2" s="1"/>
  <c r="O75" i="2" l="1"/>
  <c r="H38" i="2"/>
  <c r="H39" i="2" s="1"/>
  <c r="H76" i="2" l="1"/>
  <c r="I39" i="2"/>
  <c r="I40" i="2"/>
  <c r="H40" i="2"/>
  <c r="J39" i="2" l="1"/>
  <c r="O42" i="2" s="1"/>
  <c r="O44" i="2" s="1"/>
  <c r="O49" i="2" s="1"/>
  <c r="I78" i="2"/>
  <c r="H77" i="2"/>
  <c r="I77" i="2"/>
  <c r="H78" i="2"/>
  <c r="J77" i="2" l="1"/>
  <c r="O80" i="2" s="1"/>
  <c r="O52" i="2"/>
  <c r="O55" i="2"/>
  <c r="O82" i="2" l="1"/>
  <c r="O86" i="2"/>
  <c r="O88" i="2" s="1"/>
  <c r="O58" i="2"/>
  <c r="O60" i="2" s="1"/>
  <c r="O106" i="2" s="1"/>
  <c r="O90" i="2" l="1"/>
  <c r="O108" i="2" s="1"/>
  <c r="O1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Nome del progetto
Projekttitel eingeben</t>
        </r>
      </text>
    </comment>
    <comment ref="E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Nome e indirizzo della committenza
Name und Adresse der Auftraggeber</t>
        </r>
      </text>
    </comment>
    <comment ref="B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inserire la superficie della zona
Fläche der Zone eingeben</t>
        </r>
      </text>
    </comment>
    <comment ref="G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inserire la densità
Dichte eingeben</t>
        </r>
      </text>
    </comment>
    <comment ref="C2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cliccare e scegliere: A, B, C, D
anklicken und auswählen: A, B, C, D</t>
        </r>
      </text>
    </comment>
    <comment ref="L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cliccare e scegliere.
anklicken und auswählen.</t>
        </r>
      </text>
    </comment>
    <comment ref="L5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cliccare e scegliere.
anklicken und auswählen.</t>
        </r>
      </text>
    </comment>
    <comment ref="L8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cliccare e scegliere.
anklicken und auswählen.</t>
        </r>
      </text>
    </comment>
    <comment ref="L9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cliccare e scegliere.
anklicken und auswählen.</t>
        </r>
      </text>
    </comment>
    <comment ref="L10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cliccare e scegliere.
anklicken und auswählen.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<sst xmlns="http://schemas.openxmlformats.org/spreadsheetml/2006/main" count="275" uniqueCount="130">
  <si>
    <t>Committente</t>
  </si>
  <si>
    <t>%</t>
  </si>
  <si>
    <t>=</t>
  </si>
  <si>
    <t>Legende:</t>
  </si>
  <si>
    <t>Legenda:</t>
  </si>
  <si>
    <t>Optionen auswählen</t>
  </si>
  <si>
    <t>Werte eingeben</t>
  </si>
  <si>
    <t>scegliere le opzioni</t>
  </si>
  <si>
    <t>inserire valori</t>
  </si>
  <si>
    <t>Fläche der Zone</t>
  </si>
  <si>
    <t>Superficie della zona</t>
  </si>
  <si>
    <t>Baudichte</t>
  </si>
  <si>
    <t>A</t>
  </si>
  <si>
    <t>B</t>
  </si>
  <si>
    <t>C</t>
  </si>
  <si>
    <t>D</t>
  </si>
  <si>
    <t>Wohnbauzone A - Historischer Ortskern</t>
  </si>
  <si>
    <t>Zona residenziale A - Centro storico</t>
  </si>
  <si>
    <t>Wohnbauzone B - Auffüllzone</t>
  </si>
  <si>
    <t>Wohnbauzone C - Erweiterungszone</t>
  </si>
  <si>
    <t>Gewerbegebiet D</t>
  </si>
  <si>
    <t>Zona residenziale B - Zona di completamento</t>
  </si>
  <si>
    <t>Zona residenziale C - Zona di espansione</t>
  </si>
  <si>
    <t>Zona per insediamenti produttivi D</t>
  </si>
  <si>
    <t>Zone - Zonen</t>
  </si>
  <si>
    <t>Auftraggeber</t>
  </si>
  <si>
    <t>Nome del progetto</t>
  </si>
  <si>
    <t>Projekttitel</t>
  </si>
  <si>
    <t>Flächen bis</t>
  </si>
  <si>
    <t>€/ha</t>
  </si>
  <si>
    <t>€/m³</t>
  </si>
  <si>
    <t>Flächenfaktor</t>
  </si>
  <si>
    <t xml:space="preserve">X </t>
  </si>
  <si>
    <t>superficie fino a</t>
  </si>
  <si>
    <t>Zone</t>
  </si>
  <si>
    <t>Zonen</t>
  </si>
  <si>
    <t>Aliquota superficie</t>
  </si>
  <si>
    <t>Aliquote per il calcolo del compenso / Faktoren zu Berechnung der Vergütung</t>
  </si>
  <si>
    <t xml:space="preserve"> Plastico/ Modell 1:500</t>
  </si>
  <si>
    <t>€/m²</t>
  </si>
  <si>
    <t>ha          X</t>
  </si>
  <si>
    <t>m³          X</t>
  </si>
  <si>
    <t>Coefficiente
Koeffizient</t>
  </si>
  <si>
    <t>Superficie
Flächen</t>
  </si>
  <si>
    <t xml:space="preserve">         Kubaturfaktor</t>
  </si>
  <si>
    <t xml:space="preserve">                Aliquota cubatura</t>
  </si>
  <si>
    <t>Tab. B: Piano di attuazione - Durchführungsplan</t>
  </si>
  <si>
    <t>Kubaturfaktor</t>
  </si>
  <si>
    <t>Interpoliert</t>
  </si>
  <si>
    <t>Pianificazione del verde/ Grünordnungsplanung</t>
  </si>
  <si>
    <t>Tab C: Progettazione del verde - Grünordnungsplanung</t>
  </si>
  <si>
    <t>Nome del progetto - Projekttitel</t>
  </si>
  <si>
    <t xml:space="preserve">Importo base per il plastico di inserimento / Grundbetrag für das Einsatzmodell    </t>
  </si>
  <si>
    <t xml:space="preserve">Aliquote per il calcolo del compenso / Faktoren zu Berechnung der Vergütung      </t>
  </si>
  <si>
    <t xml:space="preserve">Aliquota superficie tab.D  </t>
  </si>
  <si>
    <t xml:space="preserve">  Aliquota cubatura tab.D  </t>
  </si>
  <si>
    <t xml:space="preserve">     Kubaturfaktor Tab.D  </t>
  </si>
  <si>
    <t xml:space="preserve">Flächenfaktor Tab.D  </t>
  </si>
  <si>
    <t>Densità</t>
  </si>
  <si>
    <t>Nome del committente - Name Auftraggeber</t>
  </si>
  <si>
    <t>Per un plastico con andamento altimetrico del terreno aumento fino al 50%
Erhöhung für Modell mit Schichtenlinien (Gelände) bis zu 50% Zuschlag</t>
  </si>
  <si>
    <t xml:space="preserve">     Aliquota cubatura</t>
  </si>
  <si>
    <t>Per i dintorni al di fuori della zona aumento fino al 50%     
Erhöhung für Umgebung ausserhalb der Zone bis zu 50% Zuschlag</t>
  </si>
  <si>
    <t xml:space="preserve">
Flächen</t>
  </si>
  <si>
    <t>Superficie</t>
  </si>
  <si>
    <t xml:space="preserve">
Koeffizient</t>
  </si>
  <si>
    <t>Coefficiente</t>
  </si>
  <si>
    <t>Honorare bis</t>
  </si>
  <si>
    <t>Onorari fino a</t>
  </si>
  <si>
    <t>Spesenaufschlag</t>
  </si>
  <si>
    <t>Spese pari a</t>
  </si>
  <si>
    <t>Tab 10: Spese per prestazioni  urbanistiche - Spesen für urbanistische Leistungen</t>
  </si>
  <si>
    <t>Tab. 1: Piano di attuazione - Durchführungsplan</t>
  </si>
  <si>
    <t>Tab 2: Progettazione del verde - Grünordnungsplanung</t>
  </si>
  <si>
    <t>Tab. 3: Denominazione delle zone / Bezeichnungen der Zonen</t>
  </si>
  <si>
    <t xml:space="preserve">Aliquota superficie tab.1  </t>
  </si>
  <si>
    <t xml:space="preserve">Flächenfaktor Tab.1  </t>
  </si>
  <si>
    <t xml:space="preserve">     Kubaturfaktor Tab.1  </t>
  </si>
  <si>
    <t xml:space="preserve">  Aliquota cubatura tab.1  </t>
  </si>
  <si>
    <r>
      <t>Compenso professionale per 
l'elaborazione di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piani di attuazione</t>
    </r>
    <r>
      <rPr>
        <b/>
        <sz val="10"/>
        <rFont val="Arial"/>
        <family val="2"/>
      </rPr>
      <t xml:space="preserve">
Vergütung für freiberufliche Leistungen zur Erstellung von </t>
    </r>
    <r>
      <rPr>
        <b/>
        <u/>
        <sz val="12"/>
        <rFont val="Arial"/>
        <family val="2"/>
      </rPr>
      <t>Durchführungsplänen</t>
    </r>
  </si>
  <si>
    <t>X</t>
  </si>
  <si>
    <t>Spese / Spesen</t>
  </si>
  <si>
    <t>Fattore delle spese secondo tabella 10 (interpolato)</t>
  </si>
  <si>
    <t>Spese per prestazioni  urbanistiche / Spesen für urbanistische Leistungen:</t>
  </si>
  <si>
    <t>2.)</t>
  </si>
  <si>
    <t>1.)</t>
  </si>
  <si>
    <t>3.)</t>
  </si>
  <si>
    <t>Plastico / Modell</t>
  </si>
  <si>
    <t>Importo plastico / Betrag Modell:</t>
  </si>
  <si>
    <t>Pianificazione del verde / Grünordnungsplanung</t>
  </si>
  <si>
    <t>Somma / Zwischensumme:</t>
  </si>
  <si>
    <t>Maggiorazioni piano del verde / Erhöhungen Grünordnungsplan:</t>
  </si>
  <si>
    <t>1a.)</t>
  </si>
  <si>
    <t>2a.)</t>
  </si>
  <si>
    <t>Importo complessivo piano del verde / Gesamtbetrag Grünordnungsplan:</t>
  </si>
  <si>
    <t>Importo maggiorazioni piano del verde / Betrag Erhöhungen Grünordnungsplan:</t>
  </si>
  <si>
    <t>m²</t>
  </si>
  <si>
    <t>Coefficiente interpolato tab. A</t>
  </si>
  <si>
    <t xml:space="preserve">Interpolierter Koeffizient Tab. A </t>
  </si>
  <si>
    <t>Coefficiente interpolato tab. C</t>
  </si>
  <si>
    <t>Koeffizient interpoliert Tab. C</t>
  </si>
  <si>
    <t>Diese Tabelle wurde auf Grundlage des Beschlusses der Landesregierung der Autonomen Provinz Bozen  Nr. 1308 vom 11.11.2014 erarbeitet.</t>
  </si>
  <si>
    <t>Suchhilfe</t>
  </si>
  <si>
    <r>
      <rPr>
        <b/>
        <sz val="10"/>
        <rFont val="Arial"/>
        <family val="2"/>
      </rPr>
      <t>b)</t>
    </r>
    <r>
      <rPr>
        <sz val="7.5"/>
        <rFont val="Arial"/>
        <family val="2"/>
      </rPr>
      <t xml:space="preserve">   Per i piani comprendenti zone di ristrutturazione viaria ed edilizia, aumento fino al 50%   
Für Pläne die Umstrukturierungen von bestehenden Bauten und Straßen vorsehen bis zu 50%  Zuschlag</t>
    </r>
  </si>
  <si>
    <r>
      <rPr>
        <b/>
        <sz val="10"/>
        <rFont val="Arial"/>
        <family val="2"/>
      </rPr>
      <t>c)</t>
    </r>
    <r>
      <rPr>
        <sz val="7.5"/>
        <rFont val="Arial"/>
        <family val="2"/>
      </rPr>
      <t xml:space="preserve">  Per la consegna del piano in formato digitale, aumento del 20%     
Für die Abgabe der Pläne in digitalem Format 20% Zuschlag</t>
    </r>
  </si>
  <si>
    <t>Per difficoltà dovute all'andamento altimetrico del terreno aumento fino al 50%     
Bei schwierigem Gelände bis zu 50% Zuschlag</t>
  </si>
  <si>
    <t>Spese per la pianificazione del verde / Spesen für die Grünordnungsplanung:</t>
  </si>
  <si>
    <t>Kubatur</t>
  </si>
  <si>
    <t>Cubatura</t>
  </si>
  <si>
    <t>Spesensatz laut Tabelle 10 (interpoliert)</t>
  </si>
  <si>
    <t>Importo del compenso base PdA / Betrag Basisvergütung DFP:</t>
  </si>
  <si>
    <t>Importo maggiorazioni PdA / Betrag Erhöhungen DFP:</t>
  </si>
  <si>
    <t>Importo complessivo PdA / Gesamtbetrag DFP:</t>
  </si>
  <si>
    <t>Importo base pianificazione del verde/Betrag Basisvergütung Grünordnungsplanung:</t>
  </si>
  <si>
    <t>Riepilogo / Zusammenfassung</t>
  </si>
  <si>
    <r>
      <rPr>
        <b/>
        <sz val="10"/>
        <rFont val="Arial"/>
        <family val="2"/>
      </rPr>
      <t>Attenzione:</t>
    </r>
    <r>
      <rPr>
        <sz val="10"/>
        <rFont val="Arial"/>
        <family val="2"/>
      </rPr>
      <t xml:space="preserve"> Gli importi base di questa tabella vengono adeguati ogni 3 anni sec. l'art. 3 del capitolato prestazionale della DGP n. 1308 dell'11/11/2014 e la tabella viene pubblicata dall'Ordine degli Architetti PPC.
</t>
    </r>
    <r>
      <rPr>
        <b/>
        <sz val="10"/>
        <rFont val="Arial"/>
        <family val="2"/>
      </rPr>
      <t>Achtung:</t>
    </r>
    <r>
      <rPr>
        <sz val="10"/>
        <rFont val="Arial"/>
        <family val="2"/>
      </rPr>
      <t xml:space="preserve"> Die Basiswerte dieser Berechnungstabelle werden laut Art. 3 der Vertragsbedingungen des BLR Nr. 1308 vom 11.11.2014 alle 3 Jahre angepasst und die Tabelle von der Kammer der Architekten RLD neu herausgegeben.</t>
    </r>
  </si>
  <si>
    <t>Compenso base piano di attuazione / Basisvergütung Durchführungsplan</t>
  </si>
  <si>
    <t>Maggiorazioni piano di attuazione / Erhöhungen Durchführungsplan</t>
  </si>
  <si>
    <t>Questa tabella è stata elaborata sulla base della delibera della Giunta provinciale della Provincia Autonoma di Bolzano n. 1308 dell'11.11.2014.</t>
  </si>
  <si>
    <t>Tipo di Zona - Art der Zone</t>
  </si>
  <si>
    <t>Data - Datum</t>
  </si>
  <si>
    <t xml:space="preserve">Calcolo del compenso tramite la superficie / Berechnung der Vergütung über die Fläche     </t>
  </si>
  <si>
    <t xml:space="preserve">Calcolo del compenso tramite la cubatura / Berechnung der Vergütung über die Kubatur      </t>
  </si>
  <si>
    <t>Schwieriges Gelände oder besonderen Bindungen (öffentliche Einrichtungen, Infrastrukturen die Vorrang haben gegenüber Hochbauten, unter Denkmalschutz gestellte Gebäude, Servitute usw.) 
bis zu 20% Zuschlag</t>
  </si>
  <si>
    <t>Importo complessivo / Gesamtbetrag:</t>
  </si>
  <si>
    <r>
      <rPr>
        <b/>
        <sz val="10"/>
        <rFont val="Arial"/>
        <family val="2"/>
      </rPr>
      <t>a)</t>
    </r>
    <r>
      <rPr>
        <sz val="7.5"/>
        <rFont val="Arial"/>
        <family val="2"/>
      </rPr>
      <t xml:space="preserve">  Per difficoltà  dovute all'andamento altimetrico del terreno o alla presenza di elementi particolarmente vincolanti (attrezzature collettive, infrastrutture prevalenti rispetto all'edilizia, edifici sotto tutela, servitù ecc.), aumento fino al 20%</t>
    </r>
  </si>
  <si>
    <t xml:space="preserve">Calcolo del compenso tramite la superficie / Berechnung der Vergütung über die Fläche  </t>
  </si>
  <si>
    <t xml:space="preserve">Calcolo del compenso tramite la cubatura / Berechnung der Vergütung über die Kubatur  </t>
  </si>
  <si>
    <t>Versione 2.0
gen. 2024
Version 2.0
Jän. 2024</t>
  </si>
  <si>
    <t>gennaio 2024 / Jänner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</si>
</sst>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€&quot;\ #,##0.00"/>
    <numFmt numFmtId="165" formatCode="_-* #,##0\ _D_M_-;\-* #,##0\ _D_M_-;_-* &quot;-&quot;\ _D_M_-;_-@_-"/>
    <numFmt numFmtId="166" formatCode="_-[$€-2]\ * #,##0.00_-;\-[$€-2]\ * #,##0.00_-;_-[$€-2]\ * &quot;-&quot;??_-"/>
    <numFmt numFmtId="167" formatCode="0.0000"/>
    <numFmt numFmtId="168" formatCode="\ #,##0&quot; m²&quot;;\-\ #,##0&quot; m²&quot;"/>
    <numFmt numFmtId="169" formatCode="\ #,##0.0&quot; m³/m²&quot;;\-\ #,##0.0&quot; m³/m²&quot;"/>
    <numFmt numFmtId="170" formatCode="\ #,##0&quot; m³&quot;;\-\ #,##0&quot; m³&quot;"/>
    <numFmt numFmtId="171" formatCode="0.0"/>
    <numFmt numFmtId="172" formatCode="\ #,##0.00&quot; %&quot;;\-\ #,##0.00&quot; %&quot;"/>
    <numFmt numFmtId="173" formatCode="#,##0.000"/>
    <numFmt numFmtId="174" formatCode="#,##0.00_ ;\-#,##0.00\ "/>
    <numFmt numFmtId="175" formatCode="&quot;€&quot;\ #,##0"/>
    <numFmt numFmtId="176" formatCode="0.000"/>
    <numFmt numFmtId="177" formatCode="#,##0_ ;\-#,##0\ "/>
    <numFmt numFmtId="178" formatCode="0.000000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sz val="7.5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color rgb="FFCC330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68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11" xfId="0" applyBorder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17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168" fontId="0" fillId="0" borderId="9" xfId="0" applyNumberFormat="1" applyBorder="1" applyAlignment="1">
      <alignment horizontal="center"/>
    </xf>
    <xf numFmtId="171" fontId="0" fillId="0" borderId="12" xfId="0" applyNumberForma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1" fillId="0" borderId="10" xfId="0" applyFont="1" applyBorder="1"/>
    <xf numFmtId="0" fontId="1" fillId="0" borderId="0" xfId="0" applyFont="1"/>
    <xf numFmtId="0" fontId="1" fillId="0" borderId="9" xfId="0" applyFont="1" applyBorder="1" applyAlignment="1">
      <alignment horizontal="right"/>
    </xf>
    <xf numFmtId="0" fontId="0" fillId="0" borderId="12" xfId="0" applyBorder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168" fontId="1" fillId="0" borderId="7" xfId="0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4" fontId="0" fillId="0" borderId="9" xfId="0" applyNumberFormat="1" applyBorder="1" applyAlignment="1">
      <alignment horizontal="right"/>
    </xf>
    <xf numFmtId="0" fontId="1" fillId="0" borderId="9" xfId="0" applyFont="1" applyBorder="1" applyAlignment="1">
      <alignment horizontal="left"/>
    </xf>
    <xf numFmtId="168" fontId="1" fillId="0" borderId="9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5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2" fillId="0" borderId="0" xfId="0" applyFont="1"/>
    <xf numFmtId="164" fontId="14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4" xfId="0" applyBorder="1"/>
    <xf numFmtId="0" fontId="14" fillId="0" borderId="0" xfId="0" applyFont="1"/>
    <xf numFmtId="0" fontId="15" fillId="0" borderId="0" xfId="0" applyFont="1"/>
    <xf numFmtId="0" fontId="0" fillId="0" borderId="1" xfId="0" applyBorder="1"/>
    <xf numFmtId="16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164" fontId="1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center" vertical="top"/>
    </xf>
    <xf numFmtId="164" fontId="0" fillId="0" borderId="0" xfId="0" applyNumberFormat="1"/>
    <xf numFmtId="3" fontId="0" fillId="0" borderId="0" xfId="0" applyNumberFormat="1"/>
    <xf numFmtId="164" fontId="0" fillId="0" borderId="0" xfId="0" applyNumberFormat="1" applyAlignment="1">
      <alignment horizontal="center"/>
    </xf>
    <xf numFmtId="4" fontId="5" fillId="2" borderId="3" xfId="0" applyNumberFormat="1" applyFont="1" applyFill="1" applyBorder="1" applyAlignment="1">
      <alignment horizontal="left"/>
    </xf>
    <xf numFmtId="4" fontId="1" fillId="2" borderId="4" xfId="0" applyNumberFormat="1" applyFont="1" applyFill="1" applyBorder="1" applyAlignment="1">
      <alignment horizontal="right"/>
    </xf>
    <xf numFmtId="164" fontId="0" fillId="2" borderId="4" xfId="0" applyNumberFormat="1" applyFill="1" applyBorder="1"/>
    <xf numFmtId="0" fontId="1" fillId="2" borderId="4" xfId="0" applyFont="1" applyFill="1" applyBorder="1"/>
    <xf numFmtId="3" fontId="0" fillId="2" borderId="4" xfId="0" applyNumberFormat="1" applyFill="1" applyBorder="1"/>
    <xf numFmtId="164" fontId="1" fillId="2" borderId="4" xfId="0" applyNumberFormat="1" applyFont="1" applyFill="1" applyBorder="1" applyAlignment="1">
      <alignment horizontal="left" vertical="center"/>
    </xf>
    <xf numFmtId="172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164" fontId="5" fillId="2" borderId="4" xfId="0" applyNumberFormat="1" applyFont="1" applyFill="1" applyBorder="1"/>
    <xf numFmtId="14" fontId="1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Protection="1">
      <protection hidden="1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164" fontId="5" fillId="2" borderId="5" xfId="0" applyNumberFormat="1" applyFont="1" applyFill="1" applyBorder="1" applyAlignment="1">
      <alignment horizontal="right" vertical="top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3" borderId="16" xfId="0" applyFont="1" applyFill="1" applyBorder="1" applyAlignment="1" applyProtection="1">
      <alignment horizontal="center"/>
      <protection locked="0"/>
    </xf>
    <xf numFmtId="0" fontId="0" fillId="0" borderId="7" xfId="0" applyBorder="1"/>
    <xf numFmtId="164" fontId="5" fillId="0" borderId="7" xfId="0" applyNumberFormat="1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top"/>
    </xf>
    <xf numFmtId="0" fontId="1" fillId="0" borderId="11" xfId="0" applyFont="1" applyBorder="1" applyAlignment="1">
      <alignment horizontal="right" vertical="top"/>
    </xf>
    <xf numFmtId="0" fontId="8" fillId="0" borderId="17" xfId="0" applyFont="1" applyBorder="1" applyAlignment="1">
      <alignment vertical="center"/>
    </xf>
    <xf numFmtId="0" fontId="0" fillId="0" borderId="18" xfId="0" applyBorder="1" applyAlignment="1">
      <alignment horizontal="right"/>
    </xf>
    <xf numFmtId="0" fontId="5" fillId="0" borderId="10" xfId="0" applyFont="1" applyBorder="1"/>
    <xf numFmtId="0" fontId="0" fillId="0" borderId="11" xfId="0" applyBorder="1" applyAlignment="1">
      <alignment horizontal="right" vertical="top"/>
    </xf>
    <xf numFmtId="4" fontId="1" fillId="0" borderId="10" xfId="0" applyNumberFormat="1" applyFont="1" applyBorder="1" applyAlignment="1">
      <alignment horizontal="right"/>
    </xf>
    <xf numFmtId="0" fontId="8" fillId="0" borderId="6" xfId="0" applyFont="1" applyBorder="1"/>
    <xf numFmtId="0" fontId="8" fillId="0" borderId="10" xfId="0" applyFont="1" applyBorder="1"/>
    <xf numFmtId="0" fontId="3" fillId="0" borderId="11" xfId="0" applyFont="1" applyBorder="1" applyAlignment="1">
      <alignment horizontal="right" vertical="top"/>
    </xf>
    <xf numFmtId="0" fontId="5" fillId="0" borderId="19" xfId="0" applyFont="1" applyBorder="1"/>
    <xf numFmtId="0" fontId="0" fillId="0" borderId="20" xfId="0" applyBorder="1" applyAlignment="1">
      <alignment horizontal="center" vertical="top"/>
    </xf>
    <xf numFmtId="0" fontId="0" fillId="0" borderId="11" xfId="0" applyBorder="1" applyAlignment="1">
      <alignment horizontal="right"/>
    </xf>
    <xf numFmtId="0" fontId="8" fillId="0" borderId="1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" fontId="1" fillId="0" borderId="14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/>
    </xf>
    <xf numFmtId="0" fontId="1" fillId="2" borderId="3" xfId="0" applyFont="1" applyFill="1" applyBorder="1"/>
    <xf numFmtId="0" fontId="0" fillId="2" borderId="5" xfId="0" applyFill="1" applyBorder="1"/>
    <xf numFmtId="0" fontId="0" fillId="2" borderId="4" xfId="0" applyFill="1" applyBorder="1" applyAlignment="1">
      <alignment horizontal="right"/>
    </xf>
    <xf numFmtId="168" fontId="0" fillId="2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23" xfId="0" applyFont="1" applyBorder="1"/>
    <xf numFmtId="0" fontId="0" fillId="0" borderId="24" xfId="0" applyBorder="1"/>
    <xf numFmtId="164" fontId="5" fillId="0" borderId="24" xfId="0" applyNumberFormat="1" applyFon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top"/>
    </xf>
    <xf numFmtId="0" fontId="0" fillId="0" borderId="25" xfId="0" applyBorder="1" applyAlignment="1">
      <alignment horizontal="right" vertical="top"/>
    </xf>
    <xf numFmtId="0" fontId="3" fillId="0" borderId="10" xfId="0" applyFont="1" applyBorder="1"/>
    <xf numFmtId="0" fontId="1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26" xfId="0" applyFont="1" applyBorder="1"/>
    <xf numFmtId="0" fontId="0" fillId="0" borderId="2" xfId="0" applyBorder="1"/>
    <xf numFmtId="164" fontId="5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top"/>
    </xf>
    <xf numFmtId="0" fontId="0" fillId="0" borderId="27" xfId="0" applyBorder="1" applyAlignment="1">
      <alignment horizontal="right" vertical="top"/>
    </xf>
    <xf numFmtId="0" fontId="8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0" fillId="2" borderId="0" xfId="0" applyFill="1"/>
    <xf numFmtId="168" fontId="0" fillId="0" borderId="0" xfId="0" applyNumberFormat="1"/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wrapText="1"/>
    </xf>
    <xf numFmtId="2" fontId="0" fillId="5" borderId="0" xfId="0" applyNumberFormat="1" applyFill="1"/>
    <xf numFmtId="0" fontId="11" fillId="0" borderId="0" xfId="0" applyFont="1"/>
    <xf numFmtId="164" fontId="14" fillId="3" borderId="0" xfId="0" applyNumberFormat="1" applyFont="1" applyFill="1" applyAlignment="1">
      <alignment vertical="center"/>
    </xf>
    <xf numFmtId="0" fontId="0" fillId="4" borderId="0" xfId="0" applyFill="1"/>
    <xf numFmtId="0" fontId="12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top"/>
    </xf>
    <xf numFmtId="164" fontId="2" fillId="0" borderId="0" xfId="0" applyNumberFormat="1" applyFont="1"/>
    <xf numFmtId="1" fontId="1" fillId="3" borderId="0" xfId="0" applyNumberFormat="1" applyFont="1" applyFill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hidden="1"/>
    </xf>
    <xf numFmtId="164" fontId="1" fillId="0" borderId="22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/>
    </xf>
    <xf numFmtId="173" fontId="0" fillId="0" borderId="0" xfId="0" applyNumberFormat="1" applyAlignment="1">
      <alignment horizontal="right"/>
    </xf>
    <xf numFmtId="173" fontId="0" fillId="0" borderId="9" xfId="0" applyNumberFormat="1" applyBorder="1" applyAlignment="1">
      <alignment horizontal="right"/>
    </xf>
    <xf numFmtId="4" fontId="1" fillId="0" borderId="0" xfId="0" applyNumberFormat="1" applyFont="1" applyAlignment="1">
      <alignment horizontal="left"/>
    </xf>
    <xf numFmtId="164" fontId="1" fillId="0" borderId="11" xfId="0" applyNumberFormat="1" applyFont="1" applyBorder="1" applyAlignment="1" applyProtection="1">
      <alignment horizontal="right" vertical="center"/>
      <protection hidden="1"/>
    </xf>
    <xf numFmtId="164" fontId="8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0" fillId="2" borderId="7" xfId="0" applyFill="1" applyBorder="1"/>
    <xf numFmtId="0" fontId="0" fillId="2" borderId="13" xfId="0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wrapText="1"/>
    </xf>
    <xf numFmtId="0" fontId="1" fillId="0" borderId="9" xfId="0" applyFont="1" applyBorder="1"/>
    <xf numFmtId="0" fontId="1" fillId="2" borderId="4" xfId="0" applyFont="1" applyFill="1" applyBorder="1" applyAlignment="1">
      <alignment horizontal="justify"/>
    </xf>
    <xf numFmtId="0" fontId="5" fillId="2" borderId="5" xfId="0" applyFont="1" applyFill="1" applyBorder="1"/>
    <xf numFmtId="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1" fillId="0" borderId="0" xfId="0" applyFont="1" applyAlignment="1">
      <alignment horizontal="justify"/>
    </xf>
    <xf numFmtId="3" fontId="1" fillId="0" borderId="0" xfId="0" applyNumberFormat="1" applyFont="1" applyAlignment="1">
      <alignment horizontal="justify"/>
    </xf>
    <xf numFmtId="0" fontId="0" fillId="0" borderId="18" xfId="0" applyBorder="1"/>
    <xf numFmtId="0" fontId="8" fillId="0" borderId="11" xfId="0" applyFont="1" applyBorder="1"/>
    <xf numFmtId="0" fontId="14" fillId="0" borderId="11" xfId="0" applyFont="1" applyBorder="1" applyAlignment="1">
      <alignment horizontal="right"/>
    </xf>
    <xf numFmtId="14" fontId="15" fillId="4" borderId="11" xfId="0" applyNumberFormat="1" applyFont="1" applyFill="1" applyBorder="1" applyAlignment="1" applyProtection="1">
      <alignment vertical="center"/>
      <protection locked="0"/>
    </xf>
    <xf numFmtId="0" fontId="5" fillId="0" borderId="8" xfId="0" applyFont="1" applyBorder="1"/>
    <xf numFmtId="0" fontId="0" fillId="0" borderId="9" xfId="0" applyBorder="1"/>
    <xf numFmtId="164" fontId="5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" fontId="5" fillId="2" borderId="32" xfId="0" applyNumberFormat="1" applyFont="1" applyFill="1" applyBorder="1" applyAlignment="1">
      <alignment horizontal="left"/>
    </xf>
    <xf numFmtId="4" fontId="5" fillId="2" borderId="31" xfId="0" applyNumberFormat="1" applyFont="1" applyFill="1" applyBorder="1" applyAlignment="1">
      <alignment horizontal="right"/>
    </xf>
    <xf numFmtId="0" fontId="5" fillId="2" borderId="31" xfId="0" applyFont="1" applyFill="1" applyBorder="1"/>
    <xf numFmtId="167" fontId="5" fillId="2" borderId="31" xfId="0" applyNumberFormat="1" applyFont="1" applyFill="1" applyBorder="1"/>
    <xf numFmtId="164" fontId="5" fillId="2" borderId="31" xfId="0" applyNumberFormat="1" applyFont="1" applyFill="1" applyBorder="1" applyAlignment="1">
      <alignment horizontal="left"/>
    </xf>
    <xf numFmtId="172" fontId="5" fillId="2" borderId="31" xfId="0" applyNumberFormat="1" applyFont="1" applyFill="1" applyBorder="1" applyAlignment="1">
      <alignment horizontal="center"/>
    </xf>
    <xf numFmtId="2" fontId="5" fillId="2" borderId="31" xfId="0" applyNumberFormat="1" applyFont="1" applyFill="1" applyBorder="1" applyAlignment="1">
      <alignment horizontal="center"/>
    </xf>
    <xf numFmtId="164" fontId="5" fillId="2" borderId="31" xfId="0" applyNumberFormat="1" applyFont="1" applyFill="1" applyBorder="1"/>
    <xf numFmtId="164" fontId="5" fillId="2" borderId="33" xfId="0" applyNumberFormat="1" applyFont="1" applyFill="1" applyBorder="1" applyAlignment="1">
      <alignment horizontal="right"/>
    </xf>
    <xf numFmtId="2" fontId="0" fillId="0" borderId="11" xfId="0" applyNumberFormat="1" applyBorder="1" applyAlignment="1" applyProtection="1">
      <alignment horizontal="center" vertical="center"/>
      <protection hidden="1"/>
    </xf>
    <xf numFmtId="0" fontId="2" fillId="0" borderId="13" xfId="0" applyFont="1" applyBorder="1" applyAlignment="1">
      <alignment horizontal="center" vertical="top"/>
    </xf>
    <xf numFmtId="0" fontId="5" fillId="0" borderId="3" xfId="0" applyFont="1" applyBorder="1"/>
    <xf numFmtId="0" fontId="0" fillId="0" borderId="4" xfId="0" applyBorder="1"/>
    <xf numFmtId="164" fontId="5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right" vertical="top"/>
    </xf>
    <xf numFmtId="0" fontId="0" fillId="0" borderId="19" xfId="0" applyBorder="1"/>
    <xf numFmtId="164" fontId="2" fillId="0" borderId="20" xfId="0" applyNumberFormat="1" applyFont="1" applyBorder="1"/>
    <xf numFmtId="164" fontId="2" fillId="0" borderId="5" xfId="0" applyNumberFormat="1" applyFont="1" applyBorder="1"/>
    <xf numFmtId="164" fontId="2" fillId="0" borderId="13" xfId="0" applyNumberFormat="1" applyFont="1" applyBorder="1"/>
    <xf numFmtId="4" fontId="0" fillId="0" borderId="19" xfId="0" applyNumberFormat="1" applyBorder="1"/>
    <xf numFmtId="164" fontId="0" fillId="0" borderId="20" xfId="0" applyNumberFormat="1" applyBorder="1"/>
    <xf numFmtId="0" fontId="21" fillId="2" borderId="10" xfId="0" applyFont="1" applyFill="1" applyBorder="1"/>
    <xf numFmtId="0" fontId="21" fillId="2" borderId="0" xfId="0" applyFont="1" applyFill="1"/>
    <xf numFmtId="0" fontId="21" fillId="2" borderId="11" xfId="0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3" fillId="2" borderId="8" xfId="0" applyFont="1" applyFill="1" applyBorder="1"/>
    <xf numFmtId="0" fontId="23" fillId="2" borderId="9" xfId="0" applyFont="1" applyFill="1" applyBorder="1"/>
    <xf numFmtId="164" fontId="23" fillId="2" borderId="12" xfId="0" applyNumberFormat="1" applyFont="1" applyFill="1" applyBorder="1"/>
    <xf numFmtId="10" fontId="0" fillId="0" borderId="0" xfId="0" applyNumberFormat="1"/>
    <xf numFmtId="0" fontId="3" fillId="0" borderId="10" xfId="0" applyFont="1" applyBorder="1" applyAlignment="1">
      <alignment vertical="top"/>
    </xf>
    <xf numFmtId="0" fontId="3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164" fontId="1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right"/>
    </xf>
    <xf numFmtId="0" fontId="5" fillId="0" borderId="4" xfId="0" applyFont="1" applyBorder="1"/>
    <xf numFmtId="0" fontId="5" fillId="0" borderId="24" xfId="0" applyFont="1" applyBorder="1"/>
    <xf numFmtId="172" fontId="1" fillId="0" borderId="0" xfId="0" applyNumberFormat="1" applyFont="1" applyAlignment="1">
      <alignment horizontal="center" vertical="center"/>
    </xf>
    <xf numFmtId="164" fontId="1" fillId="2" borderId="4" xfId="0" applyNumberFormat="1" applyFont="1" applyFill="1" applyBorder="1" applyAlignment="1">
      <alignment horizontal="left"/>
    </xf>
    <xf numFmtId="172" fontId="1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4" fontId="5" fillId="0" borderId="28" xfId="0" applyNumberFormat="1" applyFont="1" applyBorder="1" applyAlignment="1">
      <alignment horizontal="left"/>
    </xf>
    <xf numFmtId="4" fontId="1" fillId="0" borderId="29" xfId="0" applyNumberFormat="1" applyFont="1" applyBorder="1" applyAlignment="1">
      <alignment horizontal="right"/>
    </xf>
    <xf numFmtId="164" fontId="0" fillId="0" borderId="29" xfId="0" applyNumberFormat="1" applyBorder="1"/>
    <xf numFmtId="0" fontId="1" fillId="0" borderId="29" xfId="0" applyFont="1" applyBorder="1"/>
    <xf numFmtId="3" fontId="0" fillId="0" borderId="29" xfId="0" applyNumberFormat="1" applyBorder="1"/>
    <xf numFmtId="164" fontId="1" fillId="0" borderId="29" xfId="0" applyNumberFormat="1" applyFont="1" applyBorder="1" applyAlignment="1">
      <alignment horizontal="left" vertical="center"/>
    </xf>
    <xf numFmtId="172" fontId="1" fillId="0" borderId="29" xfId="0" applyNumberFormat="1" applyFont="1" applyBorder="1" applyAlignment="1">
      <alignment horizontal="center" vertical="center"/>
    </xf>
    <xf numFmtId="0" fontId="0" fillId="0" borderId="29" xfId="0" applyBorder="1"/>
    <xf numFmtId="164" fontId="5" fillId="0" borderId="29" xfId="0" applyNumberFormat="1" applyFont="1" applyBorder="1"/>
    <xf numFmtId="4" fontId="5" fillId="0" borderId="8" xfId="0" applyNumberFormat="1" applyFont="1" applyBorder="1" applyAlignment="1">
      <alignment horizontal="left"/>
    </xf>
    <xf numFmtId="4" fontId="1" fillId="0" borderId="9" xfId="0" applyNumberFormat="1" applyFont="1" applyBorder="1" applyAlignment="1">
      <alignment horizontal="right"/>
    </xf>
    <xf numFmtId="164" fontId="0" fillId="0" borderId="9" xfId="0" applyNumberFormat="1" applyBorder="1"/>
    <xf numFmtId="3" fontId="0" fillId="0" borderId="9" xfId="0" applyNumberFormat="1" applyBorder="1"/>
    <xf numFmtId="164" fontId="1" fillId="0" borderId="9" xfId="0" applyNumberFormat="1" applyFont="1" applyBorder="1" applyAlignment="1">
      <alignment horizontal="left" vertical="center"/>
    </xf>
    <xf numFmtId="172" fontId="1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/>
    <xf numFmtId="164" fontId="5" fillId="0" borderId="12" xfId="0" applyNumberFormat="1" applyFont="1" applyBorder="1" applyAlignment="1">
      <alignment horizontal="right" vertical="top"/>
    </xf>
    <xf numFmtId="0" fontId="5" fillId="0" borderId="28" xfId="0" applyFont="1" applyBorder="1"/>
    <xf numFmtId="0" fontId="5" fillId="0" borderId="29" xfId="0" applyFont="1" applyBorder="1"/>
    <xf numFmtId="164" fontId="5" fillId="0" borderId="30" xfId="0" applyNumberFormat="1" applyFont="1" applyBorder="1"/>
    <xf numFmtId="164" fontId="1" fillId="0" borderId="0" xfId="0" applyNumberFormat="1" applyFont="1" applyAlignment="1">
      <alignment horizontal="left"/>
    </xf>
    <xf numFmtId="172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4" fontId="5" fillId="0" borderId="10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right"/>
    </xf>
    <xf numFmtId="167" fontId="5" fillId="0" borderId="0" xfId="0" applyNumberFormat="1" applyFont="1"/>
    <xf numFmtId="164" fontId="5" fillId="0" borderId="0" xfId="0" applyNumberFormat="1" applyFont="1" applyAlignment="1">
      <alignment horizontal="left"/>
    </xf>
    <xf numFmtId="17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11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right"/>
    </xf>
    <xf numFmtId="167" fontId="5" fillId="0" borderId="29" xfId="0" applyNumberFormat="1" applyFont="1" applyBorder="1"/>
    <xf numFmtId="164" fontId="5" fillId="0" borderId="29" xfId="0" applyNumberFormat="1" applyFont="1" applyBorder="1" applyAlignment="1">
      <alignment horizontal="left"/>
    </xf>
    <xf numFmtId="172" fontId="5" fillId="0" borderId="29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/>
    <xf numFmtId="167" fontId="5" fillId="2" borderId="4" xfId="0" applyNumberFormat="1" applyFont="1" applyFill="1" applyBorder="1"/>
    <xf numFmtId="164" fontId="5" fillId="2" borderId="4" xfId="0" applyNumberFormat="1" applyFont="1" applyFill="1" applyBorder="1" applyAlignment="1">
      <alignment horizontal="left"/>
    </xf>
    <xf numFmtId="172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left" vertical="center"/>
    </xf>
    <xf numFmtId="176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>
      <alignment horizontal="center" vertical="center"/>
    </xf>
    <xf numFmtId="0" fontId="10" fillId="0" borderId="0" xfId="0" applyFont="1"/>
    <xf numFmtId="4" fontId="1" fillId="0" borderId="0" xfId="0" applyNumberFormat="1" applyFont="1"/>
    <xf numFmtId="177" fontId="1" fillId="0" borderId="0" xfId="0" applyNumberFormat="1" applyFont="1" applyAlignment="1">
      <alignment horizontal="right" vertical="center"/>
    </xf>
    <xf numFmtId="14" fontId="15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 vertical="top"/>
    </xf>
    <xf numFmtId="0" fontId="0" fillId="0" borderId="0" xfId="0" applyAlignment="1" applyProtection="1">
      <alignment vertical="center"/>
      <protection hidden="1"/>
    </xf>
    <xf numFmtId="164" fontId="5" fillId="0" borderId="30" xfId="0" applyNumberFormat="1" applyFont="1" applyBorder="1" applyProtection="1">
      <protection hidden="1"/>
    </xf>
    <xf numFmtId="164" fontId="5" fillId="2" borderId="5" xfId="0" applyNumberFormat="1" applyFont="1" applyFill="1" applyBorder="1" applyAlignment="1" applyProtection="1">
      <alignment horizontal="right"/>
      <protection hidden="1"/>
    </xf>
    <xf numFmtId="167" fontId="0" fillId="0" borderId="0" xfId="0" applyNumberFormat="1"/>
    <xf numFmtId="178" fontId="0" fillId="0" borderId="0" xfId="0" applyNumberFormat="1"/>
    <xf numFmtId="172" fontId="11" fillId="0" borderId="0" xfId="0" applyNumberFormat="1" applyFont="1" applyAlignment="1">
      <alignment horizontal="center" vertical="center"/>
    </xf>
    <xf numFmtId="164" fontId="5" fillId="0" borderId="30" xfId="0" applyNumberFormat="1" applyFont="1" applyBorder="1" applyAlignment="1">
      <alignment horizontal="right"/>
    </xf>
    <xf numFmtId="164" fontId="5" fillId="0" borderId="30" xfId="0" applyNumberFormat="1" applyFont="1" applyBorder="1" applyAlignment="1">
      <alignment horizontal="right" vertical="top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justify" vertical="center"/>
    </xf>
    <xf numFmtId="175" fontId="1" fillId="0" borderId="24" xfId="0" applyNumberFormat="1" applyFont="1" applyBorder="1" applyAlignment="1">
      <alignment horizontal="justify" vertical="center"/>
    </xf>
    <xf numFmtId="9" fontId="1" fillId="0" borderId="25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175" fontId="1" fillId="0" borderId="1" xfId="0" applyNumberFormat="1" applyFont="1" applyBorder="1" applyAlignment="1">
      <alignment horizontal="justify" vertical="center"/>
    </xf>
    <xf numFmtId="9" fontId="0" fillId="0" borderId="30" xfId="0" applyNumberFormat="1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1" xfId="0" applyNumberFormat="1" applyBorder="1" applyAlignment="1">
      <alignment vertical="center"/>
    </xf>
    <xf numFmtId="9" fontId="0" fillId="0" borderId="20" xfId="0" applyNumberForma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justify" vertical="center"/>
    </xf>
    <xf numFmtId="175" fontId="1" fillId="0" borderId="9" xfId="0" applyNumberFormat="1" applyFont="1" applyBorder="1" applyAlignment="1">
      <alignment horizontal="justify" vertical="center"/>
    </xf>
    <xf numFmtId="9" fontId="0" fillId="0" borderId="12" xfId="0" applyNumberFormat="1" applyBorder="1" applyAlignment="1">
      <alignment vertical="center"/>
    </xf>
    <xf numFmtId="0" fontId="11" fillId="0" borderId="7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9" xfId="0" applyFont="1" applyBorder="1" applyAlignment="1" applyProtection="1">
      <alignment horizontal="center"/>
      <protection hidden="1"/>
    </xf>
    <xf numFmtId="0" fontId="2" fillId="0" borderId="7" xfId="0" applyFont="1" applyBorder="1"/>
    <xf numFmtId="0" fontId="1" fillId="0" borderId="0" xfId="0" applyFont="1" applyAlignment="1">
      <alignment vertical="top" wrapText="1"/>
    </xf>
    <xf numFmtId="0" fontId="0" fillId="6" borderId="3" xfId="0" applyFill="1" applyBorder="1"/>
    <xf numFmtId="0" fontId="0" fillId="6" borderId="4" xfId="0" applyFill="1" applyBorder="1"/>
    <xf numFmtId="0" fontId="1" fillId="6" borderId="5" xfId="0" applyFont="1" applyFill="1" applyBorder="1" applyAlignment="1">
      <alignment horizontal="right"/>
    </xf>
    <xf numFmtId="0" fontId="3" fillId="6" borderId="0" xfId="1" applyFont="1" applyFill="1" applyAlignment="1">
      <alignment horizontal="right" vertical="center" wrapText="1"/>
    </xf>
    <xf numFmtId="0" fontId="1" fillId="6" borderId="3" xfId="1" applyFill="1" applyBorder="1"/>
    <xf numFmtId="0" fontId="1" fillId="6" borderId="4" xfId="1" applyFill="1" applyBorder="1"/>
    <xf numFmtId="0" fontId="1" fillId="6" borderId="5" xfId="1" applyFill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74" fontId="1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4" fontId="1" fillId="0" borderId="10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73" fontId="1" fillId="0" borderId="10" xfId="0" applyNumberFormat="1" applyFont="1" applyBorder="1" applyAlignment="1">
      <alignment horizontal="right" vertical="center"/>
    </xf>
    <xf numFmtId="173" fontId="1" fillId="0" borderId="0" xfId="0" applyNumberFormat="1" applyFont="1" applyAlignment="1">
      <alignment horizontal="right" vertical="center"/>
    </xf>
    <xf numFmtId="174" fontId="1" fillId="0" borderId="0" xfId="0" applyNumberFormat="1" applyFont="1" applyAlignment="1">
      <alignment horizontal="center" vertical="center"/>
    </xf>
    <xf numFmtId="0" fontId="10" fillId="0" borderId="1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" fillId="0" borderId="10" xfId="0" applyNumberFormat="1" applyFont="1" applyBorder="1" applyAlignment="1" applyProtection="1">
      <alignment horizontal="right" vertical="center"/>
      <protection hidden="1"/>
    </xf>
    <xf numFmtId="4" fontId="1" fillId="0" borderId="0" xfId="0" applyNumberFormat="1" applyFont="1" applyAlignment="1" applyProtection="1">
      <alignment horizontal="right" vertical="center"/>
      <protection hidden="1"/>
    </xf>
    <xf numFmtId="172" fontId="1" fillId="0" borderId="0" xfId="0" applyNumberFormat="1" applyFont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72" fontId="1" fillId="0" borderId="0" xfId="0" applyNumberFormat="1" applyFont="1" applyAlignment="1" applyProtection="1">
      <alignment horizontal="center" vertical="center"/>
      <protection hidden="1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/>
    </xf>
    <xf numFmtId="164" fontId="1" fillId="4" borderId="0" xfId="0" applyNumberFormat="1" applyFont="1" applyFill="1" applyAlignment="1" applyProtection="1">
      <alignment horizontal="left" vertical="top" wrapText="1"/>
      <protection locked="0"/>
    </xf>
    <xf numFmtId="168" fontId="14" fillId="4" borderId="10" xfId="0" applyNumberFormat="1" applyFont="1" applyFill="1" applyBorder="1" applyAlignment="1" applyProtection="1">
      <alignment horizontal="center" vertical="center"/>
      <protection locked="0"/>
    </xf>
    <xf numFmtId="168" fontId="14" fillId="4" borderId="0" xfId="0" applyNumberFormat="1" applyFont="1" applyFill="1" applyAlignment="1" applyProtection="1">
      <alignment horizontal="center" vertical="center"/>
      <protection locked="0"/>
    </xf>
    <xf numFmtId="169" fontId="14" fillId="4" borderId="0" xfId="0" applyNumberFormat="1" applyFont="1" applyFill="1" applyAlignment="1" applyProtection="1">
      <alignment horizontal="center" vertical="center"/>
      <protection locked="0"/>
    </xf>
    <xf numFmtId="170" fontId="14" fillId="0" borderId="0" xfId="0" applyNumberFormat="1" applyFont="1" applyAlignment="1">
      <alignment horizontal="center" vertical="center"/>
    </xf>
  </cellXfs>
  <cellStyles count="4">
    <cellStyle name="Dezimal [0] 2" xfId="2" xr:uid="{00000000-0005-0000-0000-000000000000}"/>
    <cellStyle name="Euro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9" defaultPivotStyle="PivotStyleLight16"/>
  <colors>
    <mruColors>
      <color rgb="FFFFFFCC"/>
      <color rgb="FFC00000"/>
      <color rgb="FFCC3300"/>
      <color rgb="FFFF66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B$64" lockText="1" noThreeD="1"/>
</file>

<file path=xl/ctrlProps/ctrlProp2.xml><?xml version="1.0" encoding="utf-8"?>
<formControlPr xmlns="http://schemas.microsoft.com/office/spreadsheetml/2009/9/main" objectType="CheckBox" checked="Checked" fmlaLink="$B$9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28576</xdr:rowOff>
    </xdr:from>
    <xdr:to>
      <xdr:col>5</xdr:col>
      <xdr:colOff>45462</xdr:colOff>
      <xdr:row>1</xdr:row>
      <xdr:rowOff>771526</xdr:rowOff>
    </xdr:to>
    <xdr:pic>
      <xdr:nvPicPr>
        <xdr:cNvPr id="1025" name="Picture 1" descr="LogoKammerB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14301"/>
          <a:ext cx="187426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62</xdr:row>
          <xdr:rowOff>57150</xdr:rowOff>
        </xdr:from>
        <xdr:to>
          <xdr:col>2</xdr:col>
          <xdr:colOff>38100</xdr:colOff>
          <xdr:row>64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92</xdr:row>
          <xdr:rowOff>38100</xdr:rowOff>
        </xdr:from>
        <xdr:to>
          <xdr:col>2</xdr:col>
          <xdr:colOff>38100</xdr:colOff>
          <xdr:row>94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K112"/>
  <sheetViews>
    <sheetView showGridLines="0" tabSelected="1" zoomScaleNormal="100" workbookViewId="0">
      <selection activeCell="Y38" sqref="Y38"/>
    </sheetView>
  </sheetViews>
  <sheetFormatPr baseColWidth="10" defaultColWidth="9.140625" defaultRowHeight="12.75" x14ac:dyDescent="0.2"/>
  <cols>
    <col min="1" max="1" width="1.85546875" style="137" customWidth="1"/>
    <col min="2" max="2" width="5.140625" customWidth="1"/>
    <col min="3" max="3" width="6.85546875" customWidth="1"/>
    <col min="4" max="4" width="7.5703125" customWidth="1"/>
    <col min="5" max="5" width="7.85546875" customWidth="1"/>
    <col min="6" max="6" width="9" customWidth="1"/>
    <col min="7" max="7" width="9.5703125" customWidth="1"/>
    <col min="8" max="8" width="6.5703125" customWidth="1"/>
    <col min="9" max="9" width="6" customWidth="1"/>
    <col min="10" max="10" width="4.7109375" customWidth="1"/>
    <col min="11" max="11" width="3.28515625" customWidth="1"/>
    <col min="12" max="12" width="8.7109375" customWidth="1"/>
    <col min="13" max="13" width="3.42578125" customWidth="1"/>
    <col min="14" max="14" width="1.140625" customWidth="1"/>
    <col min="15" max="15" width="14.7109375" customWidth="1"/>
    <col min="16" max="17" width="1.28515625" customWidth="1"/>
    <col min="18" max="18" width="21.42578125" hidden="1" customWidth="1"/>
    <col min="19" max="19" width="10.42578125" hidden="1" customWidth="1"/>
    <col min="20" max="20" width="13.28515625" hidden="1" customWidth="1"/>
    <col min="21" max="21" width="6.42578125" hidden="1" customWidth="1"/>
    <col min="22" max="22" width="12.85546875" hidden="1" customWidth="1"/>
    <col min="23" max="23" width="4.85546875" customWidth="1"/>
    <col min="24" max="24" width="6.42578125" customWidth="1"/>
    <col min="25" max="25" width="11" customWidth="1"/>
    <col min="26" max="26" width="6.42578125" customWidth="1"/>
    <col min="27" max="27" width="15" customWidth="1"/>
    <col min="28" max="28" width="16.7109375" customWidth="1"/>
    <col min="29" max="29" width="6.42578125" customWidth="1"/>
    <col min="30" max="30" width="12.5703125" customWidth="1"/>
    <col min="31" max="31" width="19.85546875" customWidth="1"/>
    <col min="32" max="248" width="6.42578125" customWidth="1"/>
  </cols>
  <sheetData>
    <row r="1" spans="2:37" ht="6.75" customHeight="1" x14ac:dyDescent="0.2"/>
    <row r="2" spans="2:37" ht="63" customHeight="1" x14ac:dyDescent="0.2">
      <c r="B2" s="356"/>
      <c r="C2" s="357"/>
      <c r="D2" s="357"/>
      <c r="E2" s="357"/>
      <c r="G2" s="361" t="s">
        <v>79</v>
      </c>
      <c r="H2" s="362"/>
      <c r="I2" s="362"/>
      <c r="J2" s="362"/>
      <c r="K2" s="362"/>
      <c r="L2" s="362"/>
      <c r="M2" s="362"/>
      <c r="N2" s="362"/>
      <c r="O2" s="323" t="s">
        <v>128</v>
      </c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</row>
    <row r="3" spans="2:37" ht="12" customHeight="1" x14ac:dyDescent="0.2">
      <c r="B3" s="34"/>
      <c r="O3" s="35"/>
    </row>
    <row r="4" spans="2:37" ht="12" customHeight="1" x14ac:dyDescent="0.2">
      <c r="B4" s="286" t="s">
        <v>118</v>
      </c>
      <c r="Y4" s="18" t="s">
        <v>4</v>
      </c>
    </row>
    <row r="5" spans="2:37" ht="12" customHeight="1" x14ac:dyDescent="0.2">
      <c r="B5" s="286" t="s">
        <v>101</v>
      </c>
      <c r="Y5" s="18" t="s">
        <v>3</v>
      </c>
    </row>
    <row r="6" spans="2:37" ht="12.75" customHeight="1" x14ac:dyDescent="0.2"/>
    <row r="7" spans="2:37" ht="13.5" customHeight="1" x14ac:dyDescent="0.2">
      <c r="B7" s="36" t="s">
        <v>26</v>
      </c>
      <c r="E7" s="363" t="s">
        <v>51</v>
      </c>
      <c r="F7" s="363"/>
      <c r="G7" s="363"/>
      <c r="H7" s="363"/>
      <c r="I7" s="363"/>
      <c r="J7" s="363"/>
      <c r="K7" s="363"/>
      <c r="L7" s="363"/>
      <c r="M7" s="363"/>
      <c r="N7" s="363"/>
      <c r="O7" s="363"/>
      <c r="X7" s="138"/>
      <c r="Y7" s="18" t="s">
        <v>7</v>
      </c>
    </row>
    <row r="8" spans="2:37" ht="13.5" customHeight="1" x14ac:dyDescent="0.2">
      <c r="B8" s="36" t="s">
        <v>27</v>
      </c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X8" s="138"/>
      <c r="Y8" s="18" t="s">
        <v>5</v>
      </c>
    </row>
    <row r="9" spans="2:37" ht="3.75" customHeight="1" x14ac:dyDescent="0.2"/>
    <row r="10" spans="2:37" ht="13.5" customHeight="1" x14ac:dyDescent="0.2">
      <c r="B10" s="36" t="s">
        <v>0</v>
      </c>
      <c r="E10" s="363" t="s">
        <v>59</v>
      </c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X10" s="139"/>
      <c r="Y10" t="s">
        <v>8</v>
      </c>
    </row>
    <row r="11" spans="2:37" ht="13.5" customHeight="1" x14ac:dyDescent="0.2">
      <c r="B11" s="36" t="s">
        <v>25</v>
      </c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X11" s="139"/>
      <c r="Y11" t="s">
        <v>6</v>
      </c>
    </row>
    <row r="12" spans="2:37" ht="15.75" customHeight="1" thickBot="1" x14ac:dyDescent="0.25"/>
    <row r="13" spans="2:37" ht="4.5" customHeight="1" x14ac:dyDescent="0.2">
      <c r="B13" s="125"/>
      <c r="C13" s="127"/>
      <c r="D13" s="127"/>
      <c r="E13" s="127"/>
      <c r="F13" s="127"/>
      <c r="G13" s="318"/>
      <c r="H13" s="77"/>
      <c r="I13" s="77"/>
      <c r="J13" s="77"/>
      <c r="K13" s="77"/>
      <c r="L13" s="77"/>
      <c r="M13" s="77"/>
      <c r="N13" s="77"/>
      <c r="O13" s="16"/>
      <c r="W13" s="18"/>
      <c r="X13" s="327" t="s">
        <v>115</v>
      </c>
      <c r="Y13" s="328"/>
      <c r="Z13" s="328"/>
      <c r="AA13" s="328"/>
      <c r="AB13" s="328"/>
      <c r="AC13" s="328"/>
      <c r="AD13" s="329"/>
    </row>
    <row r="14" spans="2:37" ht="11.25" customHeight="1" x14ac:dyDescent="0.2">
      <c r="B14" s="364">
        <v>5000</v>
      </c>
      <c r="C14" s="365"/>
      <c r="D14" s="36" t="s">
        <v>10</v>
      </c>
      <c r="G14" s="366">
        <v>1.8</v>
      </c>
      <c r="H14" s="366"/>
      <c r="I14" s="36" t="s">
        <v>58</v>
      </c>
      <c r="J14" s="45"/>
      <c r="K14" s="45"/>
      <c r="L14" s="367">
        <f>B14*G14</f>
        <v>9000</v>
      </c>
      <c r="M14" s="367"/>
      <c r="N14" s="367"/>
      <c r="O14" s="175" t="s">
        <v>108</v>
      </c>
      <c r="W14" s="18"/>
      <c r="X14" s="330"/>
      <c r="Y14" s="331"/>
      <c r="Z14" s="331"/>
      <c r="AA14" s="331"/>
      <c r="AB14" s="331"/>
      <c r="AC14" s="331"/>
      <c r="AD14" s="332"/>
    </row>
    <row r="15" spans="2:37" ht="11.25" customHeight="1" x14ac:dyDescent="0.2">
      <c r="B15" s="364"/>
      <c r="C15" s="365"/>
      <c r="D15" s="36" t="s">
        <v>9</v>
      </c>
      <c r="G15" s="366"/>
      <c r="H15" s="366"/>
      <c r="I15" s="36" t="s">
        <v>11</v>
      </c>
      <c r="J15" s="45"/>
      <c r="K15" s="45"/>
      <c r="L15" s="367"/>
      <c r="M15" s="367"/>
      <c r="N15" s="367"/>
      <c r="O15" s="175" t="s">
        <v>107</v>
      </c>
      <c r="W15" s="18"/>
      <c r="X15" s="330"/>
      <c r="Y15" s="331"/>
      <c r="Z15" s="331"/>
      <c r="AA15" s="331"/>
      <c r="AB15" s="331"/>
      <c r="AC15" s="331"/>
      <c r="AD15" s="332"/>
    </row>
    <row r="16" spans="2:37" ht="3.75" customHeight="1" x14ac:dyDescent="0.2">
      <c r="B16" s="81"/>
      <c r="C16" s="38"/>
      <c r="D16" s="281"/>
      <c r="E16" s="281"/>
      <c r="F16" s="39"/>
      <c r="G16" s="40"/>
      <c r="I16" s="41"/>
      <c r="M16" s="41"/>
      <c r="N16" s="41"/>
      <c r="O16" s="174"/>
      <c r="W16" s="18"/>
      <c r="X16" s="330"/>
      <c r="Y16" s="331"/>
      <c r="Z16" s="331"/>
      <c r="AA16" s="331"/>
      <c r="AB16" s="331"/>
      <c r="AC16" s="331"/>
      <c r="AD16" s="332"/>
    </row>
    <row r="17" spans="1:30" ht="3" customHeight="1" x14ac:dyDescent="0.2">
      <c r="B17" s="92"/>
      <c r="C17" s="282"/>
      <c r="D17" s="38"/>
      <c r="E17" s="38"/>
      <c r="F17" s="43"/>
      <c r="G17" s="37"/>
      <c r="H17" s="44"/>
      <c r="J17" s="44"/>
      <c r="K17" s="44"/>
      <c r="L17" s="44"/>
      <c r="O17" s="8"/>
      <c r="W17" s="18"/>
      <c r="X17" s="330"/>
      <c r="Y17" s="331"/>
      <c r="Z17" s="331"/>
      <c r="AA17" s="331"/>
      <c r="AB17" s="331"/>
      <c r="AC17" s="331"/>
      <c r="AD17" s="332"/>
    </row>
    <row r="18" spans="1:30" ht="14.25" customHeight="1" x14ac:dyDescent="0.2">
      <c r="B18" s="92"/>
      <c r="C18" s="283" t="s">
        <v>119</v>
      </c>
      <c r="D18" s="38"/>
      <c r="E18" s="38"/>
      <c r="F18" s="43"/>
      <c r="G18" s="37"/>
      <c r="O18" s="8"/>
      <c r="W18" s="18"/>
      <c r="X18" s="330"/>
      <c r="Y18" s="331"/>
      <c r="Z18" s="331"/>
      <c r="AA18" s="331"/>
      <c r="AB18" s="331"/>
      <c r="AC18" s="331"/>
      <c r="AD18" s="332"/>
    </row>
    <row r="19" spans="1:30" ht="3" customHeight="1" x14ac:dyDescent="0.2">
      <c r="B19" s="92"/>
      <c r="C19" s="43"/>
      <c r="D19" s="43"/>
      <c r="E19" s="43"/>
      <c r="F19" s="43"/>
      <c r="G19" s="37"/>
      <c r="O19" s="8"/>
      <c r="W19" s="18"/>
      <c r="X19" s="330"/>
      <c r="Y19" s="331"/>
      <c r="Z19" s="331"/>
      <c r="AA19" s="331"/>
      <c r="AB19" s="331"/>
      <c r="AC19" s="331"/>
      <c r="AD19" s="332"/>
    </row>
    <row r="20" spans="1:30" x14ac:dyDescent="0.2">
      <c r="B20" s="2"/>
      <c r="C20" s="358" t="s">
        <v>14</v>
      </c>
      <c r="D20" s="37"/>
      <c r="E20" s="70" t="str">
        <f>IF(C20=""," ",VLOOKUP(C20,'Tab. PdA_DFP'!I5:L8,4))</f>
        <v>Zona residenziale C - Zona di espansione</v>
      </c>
      <c r="F20" s="37"/>
      <c r="G20" s="37"/>
      <c r="H20" s="37"/>
      <c r="I20" s="36"/>
      <c r="J20" s="37"/>
      <c r="K20" s="37"/>
      <c r="L20" s="37"/>
      <c r="M20" s="37"/>
      <c r="N20" s="46"/>
      <c r="O20" s="176" t="s">
        <v>120</v>
      </c>
      <c r="X20" s="330"/>
      <c r="Y20" s="331"/>
      <c r="Z20" s="331"/>
      <c r="AA20" s="331"/>
      <c r="AB20" s="331"/>
      <c r="AC20" s="331"/>
      <c r="AD20" s="332"/>
    </row>
    <row r="21" spans="1:30" x14ac:dyDescent="0.2">
      <c r="B21" s="2"/>
      <c r="C21" s="359"/>
      <c r="D21" s="37"/>
      <c r="E21" s="70" t="str">
        <f>IF(C20=""," ",VLOOKUP(C20,'Tab. PdA_DFP'!I5:L8,2))</f>
        <v>Wohnbauzone C - Erweiterungszone</v>
      </c>
      <c r="F21" s="37"/>
      <c r="G21" s="37"/>
      <c r="H21" s="37"/>
      <c r="I21" s="37"/>
      <c r="J21" s="37"/>
      <c r="K21" s="37"/>
      <c r="L21" s="37"/>
      <c r="M21" s="37"/>
      <c r="N21" s="289"/>
      <c r="O21" s="177">
        <f ca="1">TODAY()</f>
        <v>45412</v>
      </c>
      <c r="X21" s="330"/>
      <c r="Y21" s="331"/>
      <c r="Z21" s="331"/>
      <c r="AA21" s="331"/>
      <c r="AB21" s="331"/>
      <c r="AC21" s="331"/>
      <c r="AD21" s="332"/>
    </row>
    <row r="22" spans="1:30" ht="2.25" customHeight="1" thickBot="1" x14ac:dyDescent="0.25">
      <c r="B22" s="178"/>
      <c r="C22" s="179"/>
      <c r="D22" s="179"/>
      <c r="E22" s="179"/>
      <c r="F22" s="179"/>
      <c r="G22" s="180"/>
      <c r="H22" s="180"/>
      <c r="I22" s="180"/>
      <c r="J22" s="179"/>
      <c r="K22" s="179"/>
      <c r="L22" s="179"/>
      <c r="M22" s="179"/>
      <c r="N22" s="181"/>
      <c r="O22" s="182"/>
      <c r="R22" s="47"/>
      <c r="X22" s="330"/>
      <c r="Y22" s="331"/>
      <c r="Z22" s="331"/>
      <c r="AA22" s="331"/>
      <c r="AB22" s="331"/>
      <c r="AC22" s="331"/>
      <c r="AD22" s="332"/>
    </row>
    <row r="23" spans="1:30" ht="17.25" customHeight="1" thickBot="1" x14ac:dyDescent="0.25">
      <c r="B23" s="34"/>
      <c r="G23" s="50"/>
      <c r="H23" s="50"/>
      <c r="I23" s="50"/>
      <c r="N23" s="55"/>
      <c r="O23" s="148"/>
      <c r="X23" s="330"/>
      <c r="Y23" s="331"/>
      <c r="Z23" s="331"/>
      <c r="AA23" s="331"/>
      <c r="AB23" s="331"/>
      <c r="AC23" s="331"/>
      <c r="AD23" s="332"/>
    </row>
    <row r="24" spans="1:30" ht="15" customHeight="1" thickBot="1" x14ac:dyDescent="0.25">
      <c r="B24" s="194" t="s">
        <v>85</v>
      </c>
      <c r="C24" s="226" t="s">
        <v>116</v>
      </c>
      <c r="D24" s="195"/>
      <c r="E24" s="195"/>
      <c r="F24" s="195"/>
      <c r="G24" s="196"/>
      <c r="H24" s="196"/>
      <c r="I24" s="196"/>
      <c r="J24" s="195"/>
      <c r="K24" s="195"/>
      <c r="L24" s="195"/>
      <c r="M24" s="195"/>
      <c r="N24" s="197"/>
      <c r="O24" s="198"/>
      <c r="X24" s="333"/>
      <c r="Y24" s="334"/>
      <c r="Z24" s="334"/>
      <c r="AA24" s="334"/>
      <c r="AB24" s="334"/>
      <c r="AC24" s="334"/>
      <c r="AD24" s="335"/>
    </row>
    <row r="25" spans="1:30" ht="15" customHeight="1" x14ac:dyDescent="0.2">
      <c r="B25" s="86" t="s">
        <v>37</v>
      </c>
      <c r="C25" s="77"/>
      <c r="D25" s="77"/>
      <c r="E25" s="77"/>
      <c r="F25" s="77"/>
      <c r="G25" s="78"/>
      <c r="H25" s="78"/>
      <c r="I25" s="78"/>
      <c r="J25" s="77"/>
      <c r="K25" s="77"/>
      <c r="L25" s="77"/>
      <c r="M25" s="77"/>
      <c r="N25" s="79"/>
      <c r="O25" s="193"/>
    </row>
    <row r="26" spans="1:30" ht="4.5" customHeight="1" x14ac:dyDescent="0.2">
      <c r="B26" s="87"/>
      <c r="G26" s="50"/>
      <c r="H26" s="50"/>
      <c r="I26" s="50"/>
      <c r="N26" s="55"/>
      <c r="O26" s="208"/>
      <c r="Y26" s="213"/>
    </row>
    <row r="27" spans="1:30" s="37" customFormat="1" ht="15" customHeight="1" x14ac:dyDescent="0.2">
      <c r="A27" s="140"/>
      <c r="B27" s="115" t="s">
        <v>75</v>
      </c>
      <c r="C27" s="51"/>
      <c r="D27" s="51"/>
      <c r="E27" s="99" t="s">
        <v>78</v>
      </c>
      <c r="F27" s="98"/>
      <c r="G27" s="52"/>
      <c r="H27" s="51" t="s">
        <v>97</v>
      </c>
      <c r="I27" s="100"/>
      <c r="J27" s="51"/>
      <c r="K27" s="51"/>
      <c r="L27" s="51"/>
      <c r="M27" s="51"/>
      <c r="N27" s="53"/>
      <c r="O27" s="88"/>
      <c r="X27"/>
      <c r="Y27" s="213"/>
    </row>
    <row r="28" spans="1:30" ht="15" customHeight="1" x14ac:dyDescent="0.2">
      <c r="B28" s="214" t="s">
        <v>76</v>
      </c>
      <c r="C28" s="215"/>
      <c r="D28" s="216"/>
      <c r="E28" s="217" t="s">
        <v>77</v>
      </c>
      <c r="F28" s="218"/>
      <c r="G28" s="219"/>
      <c r="H28" s="51" t="s">
        <v>98</v>
      </c>
      <c r="I28" s="218"/>
      <c r="J28" s="216"/>
      <c r="K28" s="216"/>
      <c r="L28" s="216"/>
      <c r="M28" s="216"/>
      <c r="N28" s="53"/>
      <c r="O28" s="88"/>
      <c r="Y28" s="213"/>
    </row>
    <row r="29" spans="1:30" ht="15" customHeight="1" x14ac:dyDescent="0.2">
      <c r="B29" s="351">
        <f>VLOOKUP(C20,'Tab. PdA_DFP'!A19:D22,2,FALSE)</f>
        <v>1636</v>
      </c>
      <c r="C29" s="352"/>
      <c r="D29" s="116" t="s">
        <v>29</v>
      </c>
      <c r="E29" s="284">
        <f>VLOOKUP(C20,'Tab. PdA_DFP'!A19:D22,4,FALSE)</f>
        <v>0.15</v>
      </c>
      <c r="F29" s="54" t="s">
        <v>30</v>
      </c>
      <c r="G29" s="54"/>
      <c r="H29" s="360"/>
      <c r="I29" s="360"/>
      <c r="J29" s="291">
        <f>VLOOKUP(B14,'Tab. PdA_DFP'!D4:G12,4,TRUE)</f>
        <v>2.8</v>
      </c>
      <c r="K29" s="353"/>
      <c r="L29" s="353"/>
      <c r="M29" s="71"/>
      <c r="N29" s="285"/>
      <c r="O29" s="192"/>
      <c r="Y29" s="213"/>
    </row>
    <row r="30" spans="1:30" ht="2.25" customHeight="1" x14ac:dyDescent="0.2">
      <c r="B30" s="89"/>
      <c r="C30" s="47"/>
      <c r="D30" s="47"/>
      <c r="E30" s="47"/>
      <c r="F30" s="47"/>
      <c r="G30" s="48"/>
      <c r="H30" s="48"/>
      <c r="I30" s="48"/>
      <c r="J30" s="47"/>
      <c r="K30" s="47"/>
      <c r="L30" s="47"/>
      <c r="M30" s="47"/>
      <c r="N30" s="49"/>
      <c r="O30" s="90"/>
      <c r="Y30" s="213"/>
    </row>
    <row r="31" spans="1:30" ht="15" customHeight="1" x14ac:dyDescent="0.2">
      <c r="B31" s="87" t="s">
        <v>121</v>
      </c>
      <c r="G31" s="50"/>
      <c r="H31" s="50"/>
      <c r="I31" s="50"/>
      <c r="N31" s="55"/>
      <c r="O31" s="84"/>
      <c r="Y31" s="213"/>
    </row>
    <row r="32" spans="1:30" s="142" customFormat="1" ht="15" customHeight="1" x14ac:dyDescent="0.2">
      <c r="A32" s="141"/>
      <c r="B32" s="340">
        <f>B29</f>
        <v>1636</v>
      </c>
      <c r="C32" s="341"/>
      <c r="D32" s="116" t="s">
        <v>29</v>
      </c>
      <c r="E32" s="116" t="s">
        <v>32</v>
      </c>
      <c r="F32" s="117">
        <f>B14/10000</f>
        <v>0.5</v>
      </c>
      <c r="G32" s="54" t="s">
        <v>40</v>
      </c>
      <c r="H32" s="344">
        <f>J29</f>
        <v>2.8</v>
      </c>
      <c r="I32" s="344"/>
      <c r="J32" s="116"/>
      <c r="K32" s="116"/>
      <c r="L32" s="338"/>
      <c r="M32" s="338"/>
      <c r="N32" s="118" t="s">
        <v>2</v>
      </c>
      <c r="O32" s="151">
        <f>B32*F32*H32</f>
        <v>2290.3999999999996</v>
      </c>
      <c r="X32"/>
      <c r="Y32" s="213"/>
    </row>
    <row r="33" spans="1:31" ht="2.4500000000000002" customHeight="1" x14ac:dyDescent="0.2">
      <c r="B33" s="81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82"/>
      <c r="Y33" s="213"/>
    </row>
    <row r="34" spans="1:31" ht="15" customHeight="1" x14ac:dyDescent="0.2">
      <c r="B34" s="87" t="s">
        <v>122</v>
      </c>
      <c r="G34" s="50"/>
      <c r="H34" s="50"/>
      <c r="I34" s="50"/>
      <c r="N34" s="55"/>
      <c r="O34" s="84"/>
      <c r="Y34" s="213"/>
    </row>
    <row r="35" spans="1:31" s="142" customFormat="1" ht="15" customHeight="1" x14ac:dyDescent="0.2">
      <c r="A35" s="141"/>
      <c r="B35" s="342">
        <f>E29</f>
        <v>0.15</v>
      </c>
      <c r="C35" s="343"/>
      <c r="D35" s="118" t="s">
        <v>30</v>
      </c>
      <c r="E35" s="116" t="s">
        <v>32</v>
      </c>
      <c r="F35" s="119">
        <f>L14</f>
        <v>9000</v>
      </c>
      <c r="G35" s="54" t="s">
        <v>41</v>
      </c>
      <c r="H35" s="344">
        <f>J29</f>
        <v>2.8</v>
      </c>
      <c r="I35" s="344"/>
      <c r="J35" s="116"/>
      <c r="K35" s="116"/>
      <c r="L35" s="338"/>
      <c r="M35" s="338"/>
      <c r="N35" s="118" t="s">
        <v>2</v>
      </c>
      <c r="O35" s="151">
        <f>B35*F35*H35</f>
        <v>3779.9999999999995</v>
      </c>
      <c r="X35"/>
      <c r="Y35" s="116"/>
    </row>
    <row r="36" spans="1:31" ht="2.4500000000000002" customHeight="1" x14ac:dyDescent="0.2">
      <c r="B36" s="85"/>
      <c r="C36" s="156"/>
      <c r="D36" s="56"/>
      <c r="E36" s="18"/>
      <c r="F36" s="57"/>
      <c r="G36" s="54"/>
      <c r="H36" s="228"/>
      <c r="I36" s="228"/>
      <c r="K36" s="18"/>
      <c r="M36" s="58"/>
      <c r="N36" s="58"/>
      <c r="O36" s="84"/>
    </row>
    <row r="37" spans="1:31" ht="15" customHeight="1" x14ac:dyDescent="0.2">
      <c r="B37" s="233" t="s">
        <v>90</v>
      </c>
      <c r="C37" s="234"/>
      <c r="D37" s="235"/>
      <c r="E37" s="236"/>
      <c r="F37" s="237"/>
      <c r="G37" s="238"/>
      <c r="H37" s="239"/>
      <c r="I37" s="239"/>
      <c r="J37" s="240"/>
      <c r="K37" s="236"/>
      <c r="L37" s="240"/>
      <c r="M37" s="241"/>
      <c r="N37" s="241"/>
      <c r="O37" s="298">
        <f>SUM(O32:O35)</f>
        <v>6070.4</v>
      </c>
      <c r="Y37" s="143"/>
      <c r="Z37" s="18"/>
    </row>
    <row r="38" spans="1:31" ht="15" customHeight="1" x14ac:dyDescent="0.2">
      <c r="B38" s="87" t="s">
        <v>81</v>
      </c>
      <c r="C38" s="72"/>
      <c r="D38" s="56"/>
      <c r="E38" s="18"/>
      <c r="F38" s="57"/>
      <c r="G38" s="54"/>
      <c r="H38" s="137">
        <f>VLOOKUP(O37,DBFTab10,5,TRUE)</f>
        <v>2</v>
      </c>
      <c r="I38" s="296"/>
      <c r="K38" s="18"/>
      <c r="M38" s="171"/>
      <c r="N38" s="171"/>
      <c r="O38" s="232"/>
      <c r="Y38" s="143"/>
      <c r="Z38" s="18"/>
    </row>
    <row r="39" spans="1:31" x14ac:dyDescent="0.2">
      <c r="B39" s="115" t="s">
        <v>82</v>
      </c>
      <c r="H39" s="137">
        <f>INDEX(DBFTab10,H38,1)</f>
        <v>5000</v>
      </c>
      <c r="I39" s="137">
        <f>INDEX(DBFTab10,H38,4)</f>
        <v>0.53</v>
      </c>
      <c r="J39" s="339">
        <f>IF(O37&lt;'Tab. PdA_DFP'!$L$16,'Tab. PdA_DFP'!O16,IF(O37&gt;'Tab. PdA_DFP'!$L$31,'Tab. PdA_DFP'!O31,I39+(I40-I39)/(H40-H39)*(O37-H39)))</f>
        <v>0.52571840000000003</v>
      </c>
      <c r="K39" s="339"/>
      <c r="L39" s="339"/>
      <c r="O39" s="354"/>
      <c r="AE39" s="294"/>
    </row>
    <row r="40" spans="1:31" x14ac:dyDescent="0.2">
      <c r="B40" s="115" t="s">
        <v>109</v>
      </c>
      <c r="H40" s="137">
        <f>INDEX(DBFTab10,H38+1,1)</f>
        <v>10000</v>
      </c>
      <c r="I40" s="137">
        <f>INDEX(DBFTab10,H38+1,4)</f>
        <v>0.51</v>
      </c>
      <c r="J40" s="339"/>
      <c r="K40" s="339"/>
      <c r="L40" s="339"/>
      <c r="O40" s="355"/>
    </row>
    <row r="41" spans="1:31" ht="6" customHeight="1" x14ac:dyDescent="0.2">
      <c r="B41" s="199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200"/>
    </row>
    <row r="42" spans="1:31" x14ac:dyDescent="0.2">
      <c r="B42" s="250" t="s">
        <v>83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2">
        <f>O37*J39</f>
        <v>3191.3209753599999</v>
      </c>
      <c r="AE42" s="295"/>
    </row>
    <row r="43" spans="1:31" ht="8.25" customHeight="1" thickBot="1" x14ac:dyDescent="0.25">
      <c r="B43" s="242"/>
      <c r="C43" s="243"/>
      <c r="D43" s="244"/>
      <c r="E43" s="167"/>
      <c r="F43" s="245"/>
      <c r="G43" s="246"/>
      <c r="H43" s="247"/>
      <c r="I43" s="247"/>
      <c r="J43" s="179"/>
      <c r="K43" s="167"/>
      <c r="L43" s="179"/>
      <c r="M43" s="248"/>
      <c r="N43" s="248"/>
      <c r="O43" s="249"/>
      <c r="Y43" s="143"/>
      <c r="Z43" s="18"/>
    </row>
    <row r="44" spans="1:31" ht="19.5" customHeight="1" thickBot="1" x14ac:dyDescent="0.25">
      <c r="B44" s="59" t="s">
        <v>110</v>
      </c>
      <c r="C44" s="60"/>
      <c r="D44" s="61"/>
      <c r="E44" s="62"/>
      <c r="F44" s="63"/>
      <c r="G44" s="229"/>
      <c r="H44" s="230"/>
      <c r="I44" s="230"/>
      <c r="J44" s="66"/>
      <c r="K44" s="62"/>
      <c r="L44" s="66"/>
      <c r="M44" s="67"/>
      <c r="N44" s="67"/>
      <c r="O44" s="231">
        <f>O42+O37</f>
        <v>9261.72097536</v>
      </c>
      <c r="Y44" s="143"/>
      <c r="Z44" s="18"/>
    </row>
    <row r="45" spans="1:31" ht="9.9499999999999993" customHeight="1" thickBot="1" x14ac:dyDescent="0.25">
      <c r="B45" s="263"/>
      <c r="C45" s="72"/>
      <c r="D45" s="56"/>
      <c r="E45" s="18"/>
      <c r="F45" s="57"/>
      <c r="G45" s="253"/>
      <c r="H45" s="254"/>
      <c r="I45" s="254"/>
      <c r="K45" s="18"/>
      <c r="M45" s="171"/>
      <c r="N45" s="171"/>
      <c r="O45" s="269"/>
      <c r="Y45" s="143"/>
      <c r="Z45" s="18"/>
    </row>
    <row r="46" spans="1:31" ht="15" customHeight="1" thickBot="1" x14ac:dyDescent="0.25">
      <c r="B46" s="194" t="s">
        <v>92</v>
      </c>
      <c r="C46" s="226" t="s">
        <v>117</v>
      </c>
      <c r="D46" s="195"/>
      <c r="E46" s="195"/>
      <c r="F46" s="195"/>
      <c r="G46" s="196"/>
      <c r="H46" s="196"/>
      <c r="I46" s="196"/>
      <c r="J46" s="195"/>
      <c r="K46" s="195"/>
      <c r="L46" s="195"/>
      <c r="M46" s="195"/>
      <c r="N46" s="197"/>
      <c r="O46" s="198"/>
    </row>
    <row r="47" spans="1:31" ht="3.75" customHeight="1" x14ac:dyDescent="0.2">
      <c r="B47" s="83"/>
      <c r="G47" s="50"/>
      <c r="H47" s="50"/>
      <c r="I47" s="50"/>
      <c r="N47" s="55"/>
      <c r="O47" s="84"/>
    </row>
    <row r="48" spans="1:31" s="18" customFormat="1" ht="24.75" customHeight="1" x14ac:dyDescent="0.2">
      <c r="A48" s="137"/>
      <c r="B48" s="336" t="s">
        <v>125</v>
      </c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68"/>
      <c r="O48" s="80"/>
    </row>
    <row r="49" spans="1:30" s="18" customFormat="1" ht="31.5" customHeight="1" x14ac:dyDescent="0.2">
      <c r="A49" s="137"/>
      <c r="B49" s="345" t="s">
        <v>123</v>
      </c>
      <c r="C49" s="346"/>
      <c r="D49" s="346"/>
      <c r="E49" s="346"/>
      <c r="F49" s="346"/>
      <c r="G49" s="346"/>
      <c r="H49" s="346"/>
      <c r="I49" s="346"/>
      <c r="J49" s="346"/>
      <c r="K49" s="346"/>
      <c r="L49" s="150">
        <v>20</v>
      </c>
      <c r="M49" s="69" t="s">
        <v>1</v>
      </c>
      <c r="O49" s="157">
        <f>IF(L49="","",O$44*L49/100)</f>
        <v>1852.344195072</v>
      </c>
      <c r="AD49" s="144"/>
    </row>
    <row r="50" spans="1:30" ht="2.4500000000000002" customHeight="1" x14ac:dyDescent="0.2">
      <c r="B50" s="8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53"/>
    </row>
    <row r="51" spans="1:30" ht="2.4500000000000002" customHeight="1" x14ac:dyDescent="0.2">
      <c r="B51" s="347" t="s">
        <v>103</v>
      </c>
      <c r="C51" s="348"/>
      <c r="D51" s="348"/>
      <c r="E51" s="348"/>
      <c r="F51" s="348"/>
      <c r="G51" s="348"/>
      <c r="H51" s="348"/>
      <c r="I51" s="348"/>
      <c r="J51" s="348"/>
      <c r="K51" s="348"/>
      <c r="M51" s="55"/>
      <c r="O51" s="80"/>
    </row>
    <row r="52" spans="1:30" s="18" customFormat="1" ht="31.5" customHeight="1" x14ac:dyDescent="0.2">
      <c r="A52" s="137"/>
      <c r="B52" s="349"/>
      <c r="C52" s="350"/>
      <c r="D52" s="350"/>
      <c r="E52" s="350"/>
      <c r="F52" s="350"/>
      <c r="G52" s="350"/>
      <c r="H52" s="350"/>
      <c r="I52" s="350"/>
      <c r="J52" s="350"/>
      <c r="K52" s="350"/>
      <c r="L52" s="150">
        <v>0</v>
      </c>
      <c r="M52" s="69" t="s">
        <v>1</v>
      </c>
      <c r="O52" s="157">
        <f>IF(L52="", "",O$44*L52/100)</f>
        <v>0</v>
      </c>
    </row>
    <row r="53" spans="1:30" ht="2.4500000000000002" customHeight="1" x14ac:dyDescent="0.2">
      <c r="B53" s="8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153"/>
    </row>
    <row r="54" spans="1:30" ht="2.4500000000000002" customHeight="1" x14ac:dyDescent="0.2">
      <c r="B54" s="83"/>
      <c r="G54" s="50"/>
      <c r="H54" s="50"/>
      <c r="I54" s="50"/>
      <c r="M54" s="55"/>
      <c r="O54" s="80"/>
    </row>
    <row r="55" spans="1:30" s="18" customFormat="1" ht="20.100000000000001" customHeight="1" x14ac:dyDescent="0.2">
      <c r="A55" s="137"/>
      <c r="B55" s="345" t="s">
        <v>104</v>
      </c>
      <c r="C55" s="346"/>
      <c r="D55" s="346"/>
      <c r="E55" s="346"/>
      <c r="F55" s="346"/>
      <c r="G55" s="346"/>
      <c r="H55" s="346"/>
      <c r="I55" s="346"/>
      <c r="J55" s="346"/>
      <c r="K55" s="346"/>
      <c r="L55" s="145">
        <v>20</v>
      </c>
      <c r="M55" s="69" t="s">
        <v>1</v>
      </c>
      <c r="O55" s="157">
        <f>IF(L55="","",O$44*L55/100)</f>
        <v>1852.344195072</v>
      </c>
    </row>
    <row r="56" spans="1:30" ht="2.4500000000000002" customHeight="1" x14ac:dyDescent="0.2">
      <c r="B56" s="81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53"/>
    </row>
    <row r="57" spans="1:30" ht="2.4500000000000002" customHeight="1" thickBot="1" x14ac:dyDescent="0.25">
      <c r="B57" s="85"/>
      <c r="C57" s="72"/>
      <c r="D57" s="56"/>
      <c r="E57" s="18"/>
      <c r="F57" s="57"/>
      <c r="G57" s="54"/>
      <c r="H57" s="228"/>
      <c r="I57" s="228"/>
      <c r="K57" s="18"/>
      <c r="M57" s="58"/>
      <c r="N57" s="58"/>
      <c r="O57" s="84"/>
    </row>
    <row r="58" spans="1:30" ht="15" customHeight="1" thickBot="1" x14ac:dyDescent="0.25">
      <c r="B58" s="59" t="s">
        <v>111</v>
      </c>
      <c r="C58" s="60"/>
      <c r="D58" s="61"/>
      <c r="E58" s="62"/>
      <c r="F58" s="63"/>
      <c r="G58" s="64"/>
      <c r="H58" s="65"/>
      <c r="I58" s="65"/>
      <c r="J58" s="66"/>
      <c r="K58" s="62"/>
      <c r="L58" s="66"/>
      <c r="M58" s="67"/>
      <c r="N58" s="67"/>
      <c r="O58" s="73">
        <f>SUM(O49:O56)</f>
        <v>3704.6883901440001</v>
      </c>
    </row>
    <row r="59" spans="1:30" ht="7.5" customHeight="1" thickBot="1" x14ac:dyDescent="0.25">
      <c r="B59" s="263"/>
      <c r="C59" s="72"/>
      <c r="D59" s="56"/>
      <c r="E59" s="18"/>
      <c r="F59" s="57"/>
      <c r="G59" s="54"/>
      <c r="H59" s="228"/>
      <c r="I59" s="228"/>
      <c r="K59" s="18"/>
      <c r="M59" s="171"/>
      <c r="N59" s="171"/>
      <c r="O59" s="290"/>
    </row>
    <row r="60" spans="1:30" ht="24" customHeight="1" thickBot="1" x14ac:dyDescent="0.25">
      <c r="B60" s="59" t="s">
        <v>112</v>
      </c>
      <c r="C60" s="60"/>
      <c r="D60" s="61"/>
      <c r="E60" s="62"/>
      <c r="F60" s="63"/>
      <c r="G60" s="229"/>
      <c r="H60" s="230"/>
      <c r="I60" s="230"/>
      <c r="J60" s="66"/>
      <c r="K60" s="62"/>
      <c r="L60" s="66"/>
      <c r="M60" s="67"/>
      <c r="N60" s="67"/>
      <c r="O60" s="231">
        <f>O58+O44</f>
        <v>12966.409365504</v>
      </c>
      <c r="Y60" s="143"/>
      <c r="Z60" s="18"/>
    </row>
    <row r="61" spans="1:30" ht="19.5" customHeight="1" thickBot="1" x14ac:dyDescent="0.25">
      <c r="B61" s="170"/>
      <c r="C61" s="72"/>
      <c r="D61" s="56"/>
      <c r="E61" s="18"/>
      <c r="F61" s="57"/>
      <c r="G61" s="253"/>
      <c r="H61" s="254"/>
      <c r="I61" s="254"/>
      <c r="K61" s="18"/>
      <c r="M61" s="171"/>
      <c r="N61" s="171"/>
      <c r="O61" s="255"/>
      <c r="Y61" s="143"/>
      <c r="Z61" s="18"/>
    </row>
    <row r="62" spans="1:30" ht="15" customHeight="1" thickBot="1" x14ac:dyDescent="0.25">
      <c r="B62" s="110" t="s">
        <v>84</v>
      </c>
      <c r="C62" s="227" t="s">
        <v>89</v>
      </c>
      <c r="D62" s="111"/>
      <c r="E62" s="111"/>
      <c r="F62" s="111"/>
      <c r="G62" s="112"/>
      <c r="H62" s="112"/>
      <c r="I62" s="112"/>
      <c r="J62" s="111"/>
      <c r="K62" s="111"/>
      <c r="L62" s="111"/>
      <c r="M62" s="113"/>
      <c r="N62" s="111"/>
      <c r="O62" s="114"/>
    </row>
    <row r="63" spans="1:30" ht="5.25" customHeight="1" x14ac:dyDescent="0.2">
      <c r="B63" s="125"/>
      <c r="C63" s="126"/>
      <c r="D63" s="126"/>
      <c r="E63" s="126"/>
      <c r="F63" s="126"/>
      <c r="G63" s="126"/>
      <c r="H63" s="126"/>
      <c r="I63" s="126"/>
      <c r="J63" s="126"/>
      <c r="K63" s="127"/>
      <c r="L63" s="128"/>
      <c r="M63" s="129"/>
      <c r="N63" s="127"/>
      <c r="O63" s="130"/>
    </row>
    <row r="64" spans="1:30" ht="15" customHeight="1" x14ac:dyDescent="0.2">
      <c r="A64" s="140" t="b">
        <f>IF(B64=FALSE,"",B64)</f>
        <v>1</v>
      </c>
      <c r="B64" s="76" t="b">
        <v>1</v>
      </c>
      <c r="C64" s="75" t="s">
        <v>49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91"/>
    </row>
    <row r="65" spans="1:26" ht="15" customHeight="1" x14ac:dyDescent="0.2">
      <c r="B65" s="87" t="s">
        <v>53</v>
      </c>
      <c r="G65" s="50"/>
      <c r="H65" s="50"/>
      <c r="I65" s="50"/>
      <c r="N65" s="55"/>
      <c r="O65" s="209"/>
    </row>
    <row r="66" spans="1:26" s="37" customFormat="1" ht="15" customHeight="1" x14ac:dyDescent="0.2">
      <c r="A66" s="140"/>
      <c r="B66" s="115" t="s">
        <v>54</v>
      </c>
      <c r="C66" s="51"/>
      <c r="D66" s="51"/>
      <c r="E66" s="99" t="s">
        <v>55</v>
      </c>
      <c r="F66" s="98"/>
      <c r="G66" s="222"/>
      <c r="H66" s="51" t="s">
        <v>99</v>
      </c>
      <c r="I66" s="223"/>
      <c r="J66" s="51"/>
      <c r="K66" s="51"/>
      <c r="L66" s="51"/>
      <c r="M66" s="51"/>
      <c r="N66" s="224"/>
      <c r="O66" s="225"/>
    </row>
    <row r="67" spans="1:26" s="221" customFormat="1" ht="15" customHeight="1" x14ac:dyDescent="0.2">
      <c r="A67" s="220"/>
      <c r="B67" s="214" t="s">
        <v>57</v>
      </c>
      <c r="C67" s="215"/>
      <c r="D67" s="216"/>
      <c r="E67" s="217" t="s">
        <v>56</v>
      </c>
      <c r="F67" s="218"/>
      <c r="G67" s="219"/>
      <c r="H67" s="217" t="s">
        <v>100</v>
      </c>
      <c r="I67" s="218"/>
      <c r="J67" s="216"/>
      <c r="K67" s="216"/>
      <c r="L67" s="216"/>
      <c r="M67" s="216"/>
      <c r="N67" s="53"/>
      <c r="O67" s="88"/>
    </row>
    <row r="68" spans="1:26" ht="15" customHeight="1" x14ac:dyDescent="0.2">
      <c r="B68" s="351">
        <f>VLOOKUP(C20,'Tab. PdA_DFP'!A44:D47,2,FALSE)</f>
        <v>1636</v>
      </c>
      <c r="C68" s="352"/>
      <c r="D68" s="116" t="s">
        <v>29</v>
      </c>
      <c r="E68" s="284">
        <f>VLOOKUP(C20,'Tab. PdA_DFP'!A44:D47,4,FALSE)</f>
        <v>5.1999999999999998E-2</v>
      </c>
      <c r="F68" s="54" t="s">
        <v>30</v>
      </c>
      <c r="G68" s="54"/>
      <c r="H68" s="338">
        <f>VLOOKUP(B14,'Tab. PdA_DFP'!D28:G37,4,TRUE)</f>
        <v>2</v>
      </c>
      <c r="I68" s="338"/>
      <c r="J68" s="142"/>
      <c r="K68" s="353"/>
      <c r="L68" s="353"/>
      <c r="M68" s="71"/>
      <c r="N68" s="285"/>
      <c r="O68" s="192"/>
    </row>
    <row r="69" spans="1:26" ht="15" customHeight="1" x14ac:dyDescent="0.2">
      <c r="B69" s="120" t="s">
        <v>126</v>
      </c>
      <c r="C69" s="121"/>
      <c r="D69" s="121"/>
      <c r="E69" s="121"/>
      <c r="F69" s="121"/>
      <c r="G69" s="122"/>
      <c r="H69" s="122"/>
      <c r="I69" s="122"/>
      <c r="J69" s="121"/>
      <c r="K69" s="121"/>
      <c r="L69" s="121"/>
      <c r="M69" s="121"/>
      <c r="N69" s="123"/>
      <c r="O69" s="124"/>
    </row>
    <row r="70" spans="1:26" s="142" customFormat="1" ht="15" customHeight="1" x14ac:dyDescent="0.2">
      <c r="A70" s="141"/>
      <c r="B70" s="340">
        <f>B68</f>
        <v>1636</v>
      </c>
      <c r="C70" s="341"/>
      <c r="D70" s="116" t="s">
        <v>29</v>
      </c>
      <c r="E70" s="116" t="s">
        <v>32</v>
      </c>
      <c r="F70" s="117">
        <f>B14/10000</f>
        <v>0.5</v>
      </c>
      <c r="G70" s="54" t="s">
        <v>40</v>
      </c>
      <c r="H70" s="344">
        <f>H68</f>
        <v>2</v>
      </c>
      <c r="I70" s="344"/>
      <c r="J70" s="116"/>
      <c r="K70" s="116"/>
      <c r="L70" s="338"/>
      <c r="M70" s="338"/>
      <c r="N70" s="118" t="s">
        <v>2</v>
      </c>
      <c r="O70" s="151">
        <f>IF(B64=TRUE,B70*F70*H70,"")</f>
        <v>1636</v>
      </c>
    </row>
    <row r="71" spans="1:26" ht="2.4500000000000002" customHeight="1" x14ac:dyDescent="0.2">
      <c r="B71" s="81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82"/>
    </row>
    <row r="72" spans="1:26" ht="15" customHeight="1" x14ac:dyDescent="0.2">
      <c r="B72" s="87" t="s">
        <v>127</v>
      </c>
      <c r="G72" s="50"/>
      <c r="H72" s="50"/>
      <c r="I72" s="50"/>
      <c r="N72" s="55"/>
      <c r="O72" s="84"/>
    </row>
    <row r="73" spans="1:26" s="142" customFormat="1" ht="15" customHeight="1" x14ac:dyDescent="0.2">
      <c r="A73" s="141"/>
      <c r="B73" s="342">
        <f>E68</f>
        <v>5.1999999999999998E-2</v>
      </c>
      <c r="C73" s="343"/>
      <c r="D73" s="118" t="s">
        <v>30</v>
      </c>
      <c r="E73" s="116" t="s">
        <v>32</v>
      </c>
      <c r="F73" s="119">
        <f>L14</f>
        <v>9000</v>
      </c>
      <c r="G73" s="54" t="s">
        <v>41</v>
      </c>
      <c r="H73" s="344">
        <f>H68</f>
        <v>2</v>
      </c>
      <c r="I73" s="344"/>
      <c r="J73" s="116"/>
      <c r="K73" s="116"/>
      <c r="L73" s="338"/>
      <c r="M73" s="338"/>
      <c r="N73" s="118" t="s">
        <v>2</v>
      </c>
      <c r="O73" s="151">
        <f>IF(B64=TRUE,B73*F73*H73,"")</f>
        <v>936</v>
      </c>
      <c r="Y73" s="116"/>
    </row>
    <row r="74" spans="1:26" ht="2.4500000000000002" customHeight="1" x14ac:dyDescent="0.2">
      <c r="B74" s="9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91"/>
    </row>
    <row r="75" spans="1:26" ht="12.75" customHeight="1" x14ac:dyDescent="0.2">
      <c r="B75" s="233" t="s">
        <v>90</v>
      </c>
      <c r="C75" s="270"/>
      <c r="D75" s="251"/>
      <c r="E75" s="251"/>
      <c r="F75" s="271"/>
      <c r="G75" s="272"/>
      <c r="H75" s="273"/>
      <c r="I75" s="273"/>
      <c r="J75" s="251"/>
      <c r="K75" s="251"/>
      <c r="L75" s="274"/>
      <c r="M75" s="241"/>
      <c r="N75" s="241"/>
      <c r="O75" s="297">
        <f>IF(B64=TRUE,SUM(O70:O73),"")</f>
        <v>2572</v>
      </c>
    </row>
    <row r="76" spans="1:26" ht="15" customHeight="1" x14ac:dyDescent="0.2">
      <c r="B76" s="87" t="s">
        <v>81</v>
      </c>
      <c r="C76" s="72"/>
      <c r="D76" s="56"/>
      <c r="E76" s="18"/>
      <c r="F76" s="57"/>
      <c r="G76" s="54"/>
      <c r="H76" s="137" t="e">
        <f>VLOOKUP(O75,DBFTab10,5,TRUE)</f>
        <v>#N/A</v>
      </c>
      <c r="I76" s="296"/>
      <c r="K76" s="18"/>
      <c r="M76" s="171"/>
      <c r="N76" s="171"/>
      <c r="O76" s="232"/>
      <c r="Y76" s="143"/>
      <c r="Z76" s="18"/>
    </row>
    <row r="77" spans="1:26" x14ac:dyDescent="0.2">
      <c r="B77" s="115" t="s">
        <v>82</v>
      </c>
      <c r="H77" s="137" t="e">
        <f>INDEX(DBFTab10,H76,1)</f>
        <v>#N/A</v>
      </c>
      <c r="I77" s="137" t="e">
        <f>INDEX(DBFTab10,H76,4)</f>
        <v>#N/A</v>
      </c>
      <c r="J77" s="339">
        <f>IF(O75&lt;'Tab. PdA_DFP'!$L$16,'Tab. PdA_DFP'!O54,IF(O75&gt;'Tab. PdA_DFP'!$L$31,'Tab. PdA_DFP'!O69,I77+(I78-I77)/(H78-H77)*(O75-H77)))</f>
        <v>0</v>
      </c>
      <c r="K77" s="339"/>
      <c r="L77" s="339"/>
      <c r="O77" s="354"/>
      <c r="X77" s="18"/>
    </row>
    <row r="78" spans="1:26" x14ac:dyDescent="0.2">
      <c r="B78" s="115" t="s">
        <v>109</v>
      </c>
      <c r="H78" s="137" t="e">
        <f>INDEX(DBFTab10,H76+1,1)</f>
        <v>#N/A</v>
      </c>
      <c r="I78" s="137" t="e">
        <f>INDEX(DBFTab10,H76+1,4)</f>
        <v>#N/A</v>
      </c>
      <c r="J78" s="339"/>
      <c r="K78" s="339"/>
      <c r="L78" s="339"/>
      <c r="O78" s="355"/>
    </row>
    <row r="79" spans="1:26" ht="6" customHeight="1" x14ac:dyDescent="0.2">
      <c r="B79" s="199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200"/>
    </row>
    <row r="80" spans="1:26" x14ac:dyDescent="0.2">
      <c r="B80" s="250" t="s">
        <v>106</v>
      </c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92">
        <f>IF(B64=TRUE,O75*J77,"")</f>
        <v>0</v>
      </c>
    </row>
    <row r="81" spans="1:28" ht="8.25" customHeight="1" thickBot="1" x14ac:dyDescent="0.25">
      <c r="B81" s="242"/>
      <c r="C81" s="243"/>
      <c r="D81" s="244"/>
      <c r="E81" s="167"/>
      <c r="F81" s="245"/>
      <c r="G81" s="246"/>
      <c r="H81" s="247"/>
      <c r="I81" s="247"/>
      <c r="J81" s="179"/>
      <c r="K81" s="167"/>
      <c r="L81" s="179"/>
      <c r="M81" s="248"/>
      <c r="N81" s="248"/>
      <c r="O81" s="249"/>
      <c r="Y81" s="143"/>
      <c r="Z81" s="18"/>
    </row>
    <row r="82" spans="1:28" ht="19.5" customHeight="1" thickBot="1" x14ac:dyDescent="0.25">
      <c r="B82" s="59" t="s">
        <v>113</v>
      </c>
      <c r="C82" s="60"/>
      <c r="D82" s="61"/>
      <c r="E82" s="62"/>
      <c r="F82" s="63"/>
      <c r="G82" s="229"/>
      <c r="H82" s="230"/>
      <c r="I82" s="230"/>
      <c r="J82" s="66"/>
      <c r="K82" s="62"/>
      <c r="L82" s="66"/>
      <c r="M82" s="67"/>
      <c r="N82" s="67"/>
      <c r="O82" s="231">
        <f>IF(B64=TRUE,O80+O75,"")</f>
        <v>2572</v>
      </c>
      <c r="Y82" s="143"/>
      <c r="Z82" s="18"/>
    </row>
    <row r="83" spans="1:28" ht="9.9499999999999993" customHeight="1" thickBot="1" x14ac:dyDescent="0.25">
      <c r="B83" s="263"/>
      <c r="C83" s="72"/>
      <c r="D83" s="56"/>
      <c r="E83" s="18"/>
      <c r="F83" s="57"/>
      <c r="G83" s="253"/>
      <c r="H83" s="254"/>
      <c r="I83" s="254"/>
      <c r="K83" s="18"/>
      <c r="M83" s="171"/>
      <c r="N83" s="171"/>
      <c r="O83" s="269"/>
      <c r="Y83" s="143"/>
      <c r="Z83" s="18"/>
    </row>
    <row r="84" spans="1:28" ht="15" customHeight="1" thickBot="1" x14ac:dyDescent="0.25">
      <c r="B84" s="194" t="s">
        <v>93</v>
      </c>
      <c r="C84" s="226" t="s">
        <v>91</v>
      </c>
      <c r="D84" s="195"/>
      <c r="E84" s="195"/>
      <c r="F84" s="195"/>
      <c r="G84" s="196"/>
      <c r="H84" s="196"/>
      <c r="I84" s="196"/>
      <c r="J84" s="195"/>
      <c r="K84" s="195"/>
      <c r="L84" s="195"/>
      <c r="M84" s="195"/>
      <c r="N84" s="197"/>
      <c r="O84" s="198"/>
    </row>
    <row r="85" spans="1:28" ht="2.25" customHeight="1" x14ac:dyDescent="0.2">
      <c r="B85" s="83"/>
      <c r="C85" s="34"/>
      <c r="G85" s="50"/>
      <c r="H85" s="50"/>
      <c r="I85" s="50"/>
      <c r="N85" s="55"/>
      <c r="O85" s="84"/>
    </row>
    <row r="86" spans="1:28" s="18" customFormat="1" ht="18.75" customHeight="1" x14ac:dyDescent="0.2">
      <c r="A86" s="137"/>
      <c r="B86" s="345" t="s">
        <v>105</v>
      </c>
      <c r="C86" s="346"/>
      <c r="D86" s="346"/>
      <c r="E86" s="346"/>
      <c r="F86" s="346"/>
      <c r="G86" s="346"/>
      <c r="H86" s="346"/>
      <c r="I86" s="346"/>
      <c r="J86" s="346"/>
      <c r="K86" s="346"/>
      <c r="L86" s="150">
        <v>50</v>
      </c>
      <c r="M86" s="69" t="s">
        <v>1</v>
      </c>
      <c r="O86" s="157">
        <f>IF(B$64=TRUE,(O$80+O$75)*L86/100,"")</f>
        <v>1286</v>
      </c>
    </row>
    <row r="87" spans="1:28" ht="2.25" customHeight="1" thickBot="1" x14ac:dyDescent="0.25">
      <c r="B87" s="263"/>
      <c r="C87" s="264"/>
      <c r="D87" s="34"/>
      <c r="E87" s="34"/>
      <c r="F87" s="265"/>
      <c r="G87" s="266"/>
      <c r="H87" s="267"/>
      <c r="I87" s="267"/>
      <c r="J87" s="34"/>
      <c r="K87" s="34"/>
      <c r="L87" s="268"/>
      <c r="M87" s="171"/>
      <c r="N87" s="171"/>
      <c r="O87" s="269"/>
    </row>
    <row r="88" spans="1:28" ht="16.5" customHeight="1" thickBot="1" x14ac:dyDescent="0.25">
      <c r="B88" s="59" t="s">
        <v>95</v>
      </c>
      <c r="C88" s="275"/>
      <c r="D88" s="276"/>
      <c r="E88" s="276"/>
      <c r="F88" s="277"/>
      <c r="G88" s="278"/>
      <c r="H88" s="279"/>
      <c r="I88" s="279"/>
      <c r="J88" s="276"/>
      <c r="K88" s="276"/>
      <c r="L88" s="280"/>
      <c r="M88" s="67"/>
      <c r="N88" s="67"/>
      <c r="O88" s="231">
        <f>O86</f>
        <v>1286</v>
      </c>
    </row>
    <row r="89" spans="1:28" ht="7.5" customHeight="1" thickBot="1" x14ac:dyDescent="0.25">
      <c r="B89" s="263"/>
      <c r="C89" s="72"/>
      <c r="D89" s="56"/>
      <c r="E89" s="18"/>
      <c r="F89" s="57"/>
      <c r="G89" s="54"/>
      <c r="H89" s="228"/>
      <c r="I89" s="228"/>
      <c r="K89" s="18"/>
      <c r="M89" s="171"/>
      <c r="N89" s="171"/>
      <c r="O89" s="290"/>
    </row>
    <row r="90" spans="1:28" ht="24" customHeight="1" thickBot="1" x14ac:dyDescent="0.25">
      <c r="B90" s="59" t="s">
        <v>94</v>
      </c>
      <c r="C90" s="60"/>
      <c r="D90" s="61"/>
      <c r="E90" s="62"/>
      <c r="F90" s="63"/>
      <c r="G90" s="229"/>
      <c r="H90" s="230"/>
      <c r="I90" s="230"/>
      <c r="J90" s="66"/>
      <c r="K90" s="62"/>
      <c r="L90" s="66"/>
      <c r="M90" s="67"/>
      <c r="N90" s="67"/>
      <c r="O90" s="293">
        <f>IF(B64=TRUE,O88+O82,0)</f>
        <v>3858</v>
      </c>
      <c r="Y90" s="287"/>
      <c r="Z90" s="18"/>
    </row>
    <row r="91" spans="1:28" s="142" customFormat="1" ht="21" customHeight="1" thickBot="1" x14ac:dyDescent="0.25">
      <c r="A91" s="141"/>
      <c r="B91" s="256"/>
      <c r="C91" s="256"/>
      <c r="D91" s="257"/>
      <c r="E91" s="257"/>
      <c r="F91" s="258"/>
      <c r="G91" s="259"/>
      <c r="H91" s="260"/>
      <c r="I91" s="228"/>
      <c r="K91" s="116"/>
      <c r="M91" s="261"/>
      <c r="N91" s="261"/>
      <c r="O91" s="262"/>
      <c r="Y91" s="147"/>
    </row>
    <row r="92" spans="1:28" ht="15" customHeight="1" thickBot="1" x14ac:dyDescent="0.25">
      <c r="B92" s="110" t="s">
        <v>86</v>
      </c>
      <c r="C92" s="227" t="s">
        <v>87</v>
      </c>
      <c r="D92" s="111"/>
      <c r="E92" s="111"/>
      <c r="F92" s="111"/>
      <c r="G92" s="112"/>
      <c r="H92" s="112"/>
      <c r="I92" s="112"/>
      <c r="J92" s="111"/>
      <c r="K92" s="111"/>
      <c r="L92" s="111"/>
      <c r="M92" s="113"/>
      <c r="N92" s="111"/>
      <c r="O92" s="114"/>
    </row>
    <row r="93" spans="1:28" ht="4.5" customHeight="1" x14ac:dyDescent="0.2">
      <c r="B93" s="110"/>
      <c r="C93" s="111"/>
      <c r="D93" s="111"/>
      <c r="E93" s="111"/>
      <c r="F93" s="111"/>
      <c r="G93" s="112"/>
      <c r="H93" s="112"/>
      <c r="I93" s="112"/>
      <c r="J93" s="111"/>
      <c r="K93" s="111"/>
      <c r="L93" s="111"/>
      <c r="M93" s="113"/>
      <c r="N93" s="111"/>
      <c r="O93" s="114"/>
    </row>
    <row r="94" spans="1:28" ht="15" customHeight="1" x14ac:dyDescent="0.2">
      <c r="A94" s="140" t="b">
        <f>IF(B94=FALSE,"",B94)</f>
        <v>1</v>
      </c>
      <c r="B94" s="76" t="b">
        <v>1</v>
      </c>
      <c r="C94" s="75" t="s">
        <v>38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91"/>
    </row>
    <row r="95" spans="1:28" ht="12.75" customHeight="1" x14ac:dyDescent="0.2">
      <c r="B95" s="97" t="s">
        <v>52</v>
      </c>
      <c r="C95" s="71"/>
      <c r="D95" s="71"/>
      <c r="E95" s="71"/>
      <c r="F95" s="71"/>
      <c r="I95" s="146">
        <v>0.4</v>
      </c>
      <c r="J95" s="54" t="s">
        <v>39</v>
      </c>
      <c r="K95" s="158" t="s">
        <v>80</v>
      </c>
      <c r="L95" s="288">
        <f>B14</f>
        <v>5000</v>
      </c>
      <c r="M95" s="54" t="s">
        <v>96</v>
      </c>
      <c r="N95" s="43"/>
      <c r="O95" s="157">
        <f>IF(B94=TRUE,I95*L95,"")</f>
        <v>2000</v>
      </c>
      <c r="AB95" s="18"/>
    </row>
    <row r="96" spans="1:28" ht="2.25" customHeight="1" x14ac:dyDescent="0.2">
      <c r="B96" s="93"/>
      <c r="C96" s="94"/>
      <c r="D96" s="94"/>
      <c r="E96" s="94"/>
      <c r="F96" s="94"/>
      <c r="G96" s="94"/>
      <c r="H96" s="94"/>
      <c r="I96" s="94"/>
      <c r="J96" s="94"/>
      <c r="K96" s="42"/>
      <c r="L96" s="95"/>
      <c r="M96" s="96"/>
      <c r="N96" s="42"/>
      <c r="O96" s="152"/>
    </row>
    <row r="97" spans="1:30" s="18" customFormat="1" ht="18.75" customHeight="1" x14ac:dyDescent="0.2">
      <c r="A97" s="137"/>
      <c r="B97" s="345" t="s">
        <v>60</v>
      </c>
      <c r="C97" s="346"/>
      <c r="D97" s="346"/>
      <c r="E97" s="346"/>
      <c r="F97" s="346"/>
      <c r="G97" s="346"/>
      <c r="H97" s="346"/>
      <c r="I97" s="346"/>
      <c r="J97" s="346"/>
      <c r="K97" s="346"/>
      <c r="L97" s="150">
        <v>50</v>
      </c>
      <c r="M97" s="69" t="s">
        <v>1</v>
      </c>
      <c r="O97" s="157">
        <f>IF(B94=TRUE,O95*L97/100,"")</f>
        <v>1000</v>
      </c>
      <c r="AD97" s="144"/>
    </row>
    <row r="98" spans="1:30" ht="2.4500000000000002" customHeight="1" x14ac:dyDescent="0.2">
      <c r="B98" s="81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153"/>
    </row>
    <row r="99" spans="1:30" ht="2.4500000000000002" customHeight="1" x14ac:dyDescent="0.2">
      <c r="B99" s="92"/>
      <c r="C99" s="71"/>
      <c r="D99" s="71"/>
      <c r="E99" s="71"/>
      <c r="F99" s="71"/>
      <c r="G99" s="71"/>
      <c r="H99" s="71"/>
      <c r="I99" s="71"/>
      <c r="J99" s="71"/>
      <c r="K99" s="43"/>
      <c r="L99" s="74"/>
      <c r="M99" s="69"/>
      <c r="N99" s="43"/>
      <c r="O99" s="131"/>
    </row>
    <row r="100" spans="1:30" s="18" customFormat="1" ht="18.75" customHeight="1" x14ac:dyDescent="0.2">
      <c r="A100" s="137"/>
      <c r="B100" s="345" t="s">
        <v>62</v>
      </c>
      <c r="C100" s="346"/>
      <c r="D100" s="346"/>
      <c r="E100" s="346"/>
      <c r="F100" s="346"/>
      <c r="G100" s="346"/>
      <c r="H100" s="346"/>
      <c r="I100" s="346"/>
      <c r="J100" s="346"/>
      <c r="K100" s="346"/>
      <c r="L100" s="150">
        <v>50</v>
      </c>
      <c r="M100" s="69" t="s">
        <v>1</v>
      </c>
      <c r="O100" s="157">
        <f>IF(B94=TRUE,O95*L100/100,"")</f>
        <v>1000</v>
      </c>
    </row>
    <row r="101" spans="1:30" s="18" customFormat="1" ht="12.75" customHeight="1" thickBot="1" x14ac:dyDescent="0.25">
      <c r="A101" s="137"/>
      <c r="B101" s="183" t="s">
        <v>88</v>
      </c>
      <c r="C101" s="184"/>
      <c r="D101" s="185"/>
      <c r="E101" s="185"/>
      <c r="F101" s="186"/>
      <c r="G101" s="187"/>
      <c r="H101" s="188"/>
      <c r="I101" s="188"/>
      <c r="J101" s="185"/>
      <c r="K101" s="185"/>
      <c r="L101" s="189"/>
      <c r="M101" s="190"/>
      <c r="N101" s="190"/>
      <c r="O101" s="191">
        <f>IF(B94=TRUE,O95+O97+O100,0)</f>
        <v>4000</v>
      </c>
    </row>
    <row r="102" spans="1:30" s="142" customFormat="1" ht="10.5" customHeight="1" x14ac:dyDescent="0.2">
      <c r="A102" s="141"/>
      <c r="B102" s="256"/>
      <c r="C102" s="256"/>
      <c r="D102" s="257"/>
      <c r="E102" s="257"/>
      <c r="F102" s="258"/>
      <c r="G102" s="259"/>
      <c r="H102" s="260"/>
      <c r="I102" s="228"/>
      <c r="K102" s="116"/>
      <c r="M102" s="261"/>
      <c r="N102" s="261"/>
      <c r="O102" s="262"/>
      <c r="Y102" s="147"/>
    </row>
    <row r="103" spans="1:30" ht="10.5" customHeight="1" thickBot="1" x14ac:dyDescent="0.25">
      <c r="O103" s="149"/>
    </row>
    <row r="104" spans="1:30" ht="15" customHeight="1" thickBot="1" x14ac:dyDescent="0.25">
      <c r="B104" s="194" t="s">
        <v>114</v>
      </c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201"/>
    </row>
    <row r="105" spans="1:30" ht="7.5" customHeight="1" x14ac:dyDescent="0.2">
      <c r="B105" s="15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202"/>
    </row>
    <row r="106" spans="1:30" x14ac:dyDescent="0.2">
      <c r="B106" s="203" t="str">
        <f>B60</f>
        <v>Importo complessivo PdA / Gesamtbetrag DFP: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204">
        <f>O60</f>
        <v>12966.409365504</v>
      </c>
    </row>
    <row r="107" spans="1:30" ht="6" customHeight="1" x14ac:dyDescent="0.2">
      <c r="B107" s="2"/>
      <c r="O107" s="8"/>
    </row>
    <row r="108" spans="1:30" x14ac:dyDescent="0.2">
      <c r="B108" s="203" t="str">
        <f>B90</f>
        <v>Importo complessivo piano del verde / Gesamtbetrag Grünordnungsplan: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204">
        <f>O90</f>
        <v>3858</v>
      </c>
    </row>
    <row r="109" spans="1:30" ht="6" customHeight="1" x14ac:dyDescent="0.2">
      <c r="B109" s="2"/>
      <c r="O109" s="8"/>
    </row>
    <row r="110" spans="1:30" x14ac:dyDescent="0.2">
      <c r="B110" s="203" t="str">
        <f>B101</f>
        <v>Importo plastico / Betrag Modell: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204">
        <f>O101</f>
        <v>4000</v>
      </c>
    </row>
    <row r="111" spans="1:30" ht="9.75" customHeight="1" x14ac:dyDescent="0.25">
      <c r="B111" s="205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7"/>
    </row>
    <row r="112" spans="1:30" ht="15.75" thickBot="1" x14ac:dyDescent="0.3">
      <c r="B112" s="210" t="s">
        <v>124</v>
      </c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2">
        <f>SUM(O106:O110)</f>
        <v>20824.409365503998</v>
      </c>
    </row>
  </sheetData>
  <sheetProtection algorithmName="SHA-512" hashValue="NJXex70mxTS3ZmwRyc8R1dpahllT0WBrHP5Hti/S+ZWZTSXPkcjGXsAPkKmjQiB4P/o9DRk+4OGpDMUemejUnw==" saltValue="oJbj/tuxhC9AfopwYq3kmQ==" spinCount="100000" sheet="1" objects="1" scenarios="1"/>
  <mergeCells count="38">
    <mergeCell ref="O77:O78"/>
    <mergeCell ref="B86:K86"/>
    <mergeCell ref="O39:O40"/>
    <mergeCell ref="B2:E2"/>
    <mergeCell ref="C20:C21"/>
    <mergeCell ref="B29:C29"/>
    <mergeCell ref="K29:L29"/>
    <mergeCell ref="H29:I29"/>
    <mergeCell ref="G2:N2"/>
    <mergeCell ref="E7:O8"/>
    <mergeCell ref="E10:O11"/>
    <mergeCell ref="B14:C15"/>
    <mergeCell ref="G14:H15"/>
    <mergeCell ref="L14:N15"/>
    <mergeCell ref="B55:K55"/>
    <mergeCell ref="B97:K97"/>
    <mergeCell ref="B100:K100"/>
    <mergeCell ref="B49:K49"/>
    <mergeCell ref="B51:K52"/>
    <mergeCell ref="H70:I70"/>
    <mergeCell ref="B68:C68"/>
    <mergeCell ref="H68:I68"/>
    <mergeCell ref="K68:L68"/>
    <mergeCell ref="L70:M70"/>
    <mergeCell ref="L73:M73"/>
    <mergeCell ref="J77:L78"/>
    <mergeCell ref="B73:C73"/>
    <mergeCell ref="H73:I73"/>
    <mergeCell ref="B70:C70"/>
    <mergeCell ref="X13:AD24"/>
    <mergeCell ref="B48:M48"/>
    <mergeCell ref="L32:M32"/>
    <mergeCell ref="L35:M35"/>
    <mergeCell ref="J39:L40"/>
    <mergeCell ref="B32:C32"/>
    <mergeCell ref="B35:C35"/>
    <mergeCell ref="H35:I35"/>
    <mergeCell ref="H32:I32"/>
  </mergeCells>
  <phoneticPr fontId="4" type="noConversion"/>
  <dataValidations count="3">
    <dataValidation type="list" allowBlank="1" showInputMessage="1" showErrorMessage="1" sqref="L99 L57 L49 L63" xr:uid="{00000000-0002-0000-0000-000000000000}">
      <formula1>"0,1,2,3,4,5,6,7,8,9,10,11,12,13,14,15,16,17,18,19,20"</formula1>
    </dataValidation>
    <dataValidation type="list" allowBlank="1" showInputMessage="1" showErrorMessage="1" sqref="L100 L86 L52 L97" xr:uid="{00000000-0002-0000-0000-000001000000}">
      <formula1>"0,1,2,3,4,5,6,7,8,9,10,11,12,13,14,15,16,17,18,19,20,21,22,23,24,25,26,27,28,29,30,31,32,33,34,35,36,37,38,39,40,41,42,43,44,45,46,47,48,49,50"</formula1>
    </dataValidation>
    <dataValidation type="list" showInputMessage="1" showErrorMessage="1" sqref="C20:C21" xr:uid="{00000000-0002-0000-0000-000002000000}">
      <formula1>"A,B,C,D"</formula1>
    </dataValidation>
  </dataValidations>
  <pageMargins left="0.59055118110236227" right="0.39370078740157483" top="0.31496062992125984" bottom="0" header="0" footer="0"/>
  <pageSetup paperSize="9" fitToWidth="0" fitToHeight="0" orientation="portrait" horizontalDpi="300" verticalDpi="300" r:id="rId1"/>
  <headerFooter alignWithMargins="0">
    <oddFooter>&amp;R&amp;8Pagina-Seite &amp;P/&amp;N</oddFooter>
  </headerFooter>
  <rowBreaks count="1" manualBreakCount="1">
    <brk id="61" min="1" max="14" man="1"/>
  </rowBreaks>
  <ignoredErrors>
    <ignoredError sqref="L14 O21" unlockedFormula="1"/>
    <ignoredError sqref="H76 H77:I78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62</xdr:row>
                    <xdr:rowOff>57150</xdr:rowOff>
                  </from>
                  <to>
                    <xdr:col>2</xdr:col>
                    <xdr:colOff>38100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1</xdr:col>
                    <xdr:colOff>76200</xdr:colOff>
                    <xdr:row>92</xdr:row>
                    <xdr:rowOff>38100</xdr:rowOff>
                  </from>
                  <to>
                    <xdr:col>2</xdr:col>
                    <xdr:colOff>38100</xdr:colOff>
                    <xdr:row>94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47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2.42578125" customWidth="1"/>
    <col min="2" max="2" width="11" customWidth="1"/>
    <col min="3" max="3" width="6.42578125" customWidth="1"/>
    <col min="4" max="4" width="15.140625" customWidth="1"/>
    <col min="5" max="5" width="5" customWidth="1"/>
    <col min="6" max="6" width="10.85546875" customWidth="1"/>
    <col min="7" max="7" width="10.85546875" hidden="1" customWidth="1"/>
    <col min="9" max="9" width="4.5703125" customWidth="1"/>
    <col min="10" max="10" width="11.42578125" customWidth="1"/>
    <col min="11" max="11" width="23" customWidth="1"/>
    <col min="12" max="12" width="12" customWidth="1"/>
    <col min="13" max="13" width="16.42578125" customWidth="1"/>
    <col min="14" max="14" width="12.85546875" customWidth="1"/>
    <col min="15" max="15" width="8.140625" customWidth="1"/>
    <col min="16" max="16" width="0" hidden="1" customWidth="1"/>
  </cols>
  <sheetData>
    <row r="1" spans="1:16" ht="13.5" thickBot="1" x14ac:dyDescent="0.25"/>
    <row r="2" spans="1:16" ht="13.5" thickBot="1" x14ac:dyDescent="0.25">
      <c r="A2" s="104" t="s">
        <v>46</v>
      </c>
      <c r="B2" s="66"/>
      <c r="C2" s="66"/>
      <c r="D2" s="66"/>
      <c r="E2" s="66"/>
      <c r="F2" s="105"/>
      <c r="G2" s="134">
        <f>Calcolo_PdA_Berechnung_DFP!B14</f>
        <v>5000</v>
      </c>
      <c r="I2" s="104" t="s">
        <v>74</v>
      </c>
      <c r="J2" s="66"/>
      <c r="K2" s="66"/>
      <c r="L2" s="66"/>
      <c r="M2" s="66"/>
      <c r="N2" s="66"/>
      <c r="O2" s="105"/>
    </row>
    <row r="3" spans="1:16" ht="25.5" x14ac:dyDescent="0.2">
      <c r="A3" s="5"/>
      <c r="B3" s="6"/>
      <c r="C3" s="6"/>
      <c r="D3" s="102" t="s">
        <v>43</v>
      </c>
      <c r="E3" s="314" t="s">
        <v>102</v>
      </c>
      <c r="F3" s="101" t="s">
        <v>42</v>
      </c>
      <c r="G3" s="135" t="s">
        <v>48</v>
      </c>
      <c r="I3" s="2"/>
      <c r="J3" s="18" t="s">
        <v>24</v>
      </c>
      <c r="K3" s="18"/>
      <c r="O3" s="8"/>
    </row>
    <row r="4" spans="1:16" x14ac:dyDescent="0.2">
      <c r="A4" s="2"/>
      <c r="D4" s="159">
        <v>0</v>
      </c>
      <c r="E4" s="315"/>
      <c r="F4" s="8"/>
      <c r="G4" s="136">
        <f>F5</f>
        <v>2.8</v>
      </c>
      <c r="I4" s="2"/>
      <c r="O4" s="8"/>
    </row>
    <row r="5" spans="1:16" x14ac:dyDescent="0.2">
      <c r="A5" s="23" t="s">
        <v>28</v>
      </c>
      <c r="B5" s="21" t="s">
        <v>33</v>
      </c>
      <c r="C5" s="9"/>
      <c r="D5" s="10">
        <v>10000</v>
      </c>
      <c r="E5" s="316">
        <v>1</v>
      </c>
      <c r="F5" s="11">
        <v>2.8</v>
      </c>
      <c r="G5" s="136">
        <f t="shared" ref="G5:G11" si="0">(D6-$G$2)*((F5-F6)/(D6-D5))+F6</f>
        <v>3.3</v>
      </c>
      <c r="H5" s="108"/>
      <c r="I5" s="17" t="s">
        <v>12</v>
      </c>
      <c r="J5" s="18" t="s">
        <v>16</v>
      </c>
      <c r="K5" s="18"/>
      <c r="L5" s="18" t="s">
        <v>17</v>
      </c>
      <c r="M5" s="18"/>
      <c r="N5" s="18"/>
      <c r="O5" s="32"/>
    </row>
    <row r="6" spans="1:16" x14ac:dyDescent="0.2">
      <c r="A6" s="23" t="s">
        <v>28</v>
      </c>
      <c r="B6" s="21" t="s">
        <v>33</v>
      </c>
      <c r="C6" s="9"/>
      <c r="D6" s="10">
        <v>20000</v>
      </c>
      <c r="E6" s="316">
        <v>2</v>
      </c>
      <c r="F6" s="11">
        <v>1.8</v>
      </c>
      <c r="G6" s="136">
        <f t="shared" si="0"/>
        <v>2.25</v>
      </c>
      <c r="H6" s="109"/>
      <c r="I6" s="17" t="s">
        <v>13</v>
      </c>
      <c r="J6" s="18" t="s">
        <v>18</v>
      </c>
      <c r="K6" s="18"/>
      <c r="L6" s="18" t="s">
        <v>21</v>
      </c>
      <c r="M6" s="18"/>
      <c r="N6" s="18"/>
      <c r="O6" s="32"/>
    </row>
    <row r="7" spans="1:16" x14ac:dyDescent="0.2">
      <c r="A7" s="23" t="s">
        <v>28</v>
      </c>
      <c r="B7" s="21" t="s">
        <v>33</v>
      </c>
      <c r="C7" s="9"/>
      <c r="D7" s="10">
        <v>30000</v>
      </c>
      <c r="E7" s="316">
        <v>3</v>
      </c>
      <c r="F7" s="11">
        <v>1.5</v>
      </c>
      <c r="G7" s="136">
        <f t="shared" si="0"/>
        <v>1.75</v>
      </c>
      <c r="H7" s="109"/>
      <c r="I7" s="17" t="s">
        <v>14</v>
      </c>
      <c r="J7" s="18" t="s">
        <v>19</v>
      </c>
      <c r="K7" s="18"/>
      <c r="L7" s="18" t="s">
        <v>22</v>
      </c>
      <c r="M7" s="18"/>
      <c r="N7" s="18"/>
      <c r="O7" s="32"/>
    </row>
    <row r="8" spans="1:16" x14ac:dyDescent="0.2">
      <c r="A8" s="23" t="s">
        <v>28</v>
      </c>
      <c r="B8" s="21" t="s">
        <v>33</v>
      </c>
      <c r="C8" s="9"/>
      <c r="D8" s="10">
        <v>50000</v>
      </c>
      <c r="E8" s="316">
        <v>4</v>
      </c>
      <c r="F8" s="11">
        <v>1.3</v>
      </c>
      <c r="G8" s="136">
        <f t="shared" si="0"/>
        <v>1.57</v>
      </c>
      <c r="H8" s="109"/>
      <c r="I8" s="17" t="s">
        <v>15</v>
      </c>
      <c r="J8" s="18" t="s">
        <v>20</v>
      </c>
      <c r="K8" s="18"/>
      <c r="L8" s="18" t="s">
        <v>23</v>
      </c>
      <c r="M8" s="18"/>
      <c r="N8" s="18"/>
      <c r="O8" s="32"/>
    </row>
    <row r="9" spans="1:16" x14ac:dyDescent="0.2">
      <c r="A9" s="23" t="s">
        <v>28</v>
      </c>
      <c r="B9" s="21" t="s">
        <v>33</v>
      </c>
      <c r="C9" s="9"/>
      <c r="D9" s="10">
        <v>100000</v>
      </c>
      <c r="E9" s="316">
        <v>5</v>
      </c>
      <c r="F9" s="11">
        <v>1</v>
      </c>
      <c r="G9" s="136">
        <f t="shared" si="0"/>
        <v>1.0633333333333332</v>
      </c>
      <c r="H9" s="109"/>
      <c r="I9" s="17"/>
      <c r="O9" s="8"/>
    </row>
    <row r="10" spans="1:16" x14ac:dyDescent="0.2">
      <c r="A10" s="23" t="s">
        <v>28</v>
      </c>
      <c r="B10" s="21" t="s">
        <v>33</v>
      </c>
      <c r="C10" s="9"/>
      <c r="D10" s="10">
        <v>250000</v>
      </c>
      <c r="E10" s="316">
        <v>6</v>
      </c>
      <c r="F10" s="11">
        <v>0.9</v>
      </c>
      <c r="G10" s="136">
        <f t="shared" si="0"/>
        <v>0.998</v>
      </c>
      <c r="H10" s="109"/>
      <c r="I10" s="2"/>
      <c r="O10" s="8"/>
    </row>
    <row r="11" spans="1:16" x14ac:dyDescent="0.2">
      <c r="A11" s="23" t="s">
        <v>28</v>
      </c>
      <c r="B11" s="21" t="s">
        <v>33</v>
      </c>
      <c r="C11" s="9"/>
      <c r="D11" s="10">
        <v>500000</v>
      </c>
      <c r="E11" s="316">
        <v>7</v>
      </c>
      <c r="F11" s="11">
        <v>0.8</v>
      </c>
      <c r="G11" s="136">
        <f t="shared" si="0"/>
        <v>0.89900000000000013</v>
      </c>
      <c r="H11" s="109"/>
      <c r="I11" s="2"/>
      <c r="O11" s="8"/>
    </row>
    <row r="12" spans="1:16" ht="13.5" thickBot="1" x14ac:dyDescent="0.25">
      <c r="A12" s="24" t="s">
        <v>28</v>
      </c>
      <c r="B12" s="22" t="s">
        <v>33</v>
      </c>
      <c r="C12" s="12"/>
      <c r="D12" s="13">
        <v>1000000</v>
      </c>
      <c r="E12" s="317">
        <v>8</v>
      </c>
      <c r="F12" s="14">
        <v>0.7</v>
      </c>
      <c r="G12" s="136">
        <f>F12</f>
        <v>0.7</v>
      </c>
      <c r="H12" s="109"/>
      <c r="I12" s="1"/>
      <c r="J12" s="19"/>
      <c r="K12" s="19"/>
      <c r="L12" s="167"/>
      <c r="M12" s="167"/>
      <c r="N12" s="167"/>
      <c r="O12" s="33"/>
    </row>
    <row r="13" spans="1:16" ht="13.5" thickBot="1" x14ac:dyDescent="0.25"/>
    <row r="14" spans="1:16" ht="13.5" thickBot="1" x14ac:dyDescent="0.25">
      <c r="A14" s="324"/>
      <c r="B14" s="325"/>
      <c r="C14" s="325"/>
      <c r="D14" s="325"/>
      <c r="E14" s="325"/>
      <c r="F14" s="326" t="s">
        <v>129</v>
      </c>
      <c r="J14" s="133"/>
      <c r="K14" s="133"/>
    </row>
    <row r="15" spans="1:16" ht="13.5" thickBot="1" x14ac:dyDescent="0.25">
      <c r="A15" s="104" t="s">
        <v>72</v>
      </c>
      <c r="B15" s="106"/>
      <c r="C15" s="106"/>
      <c r="D15" s="107"/>
      <c r="E15" s="107"/>
      <c r="F15" s="105"/>
      <c r="G15" s="132"/>
      <c r="I15" s="104" t="s">
        <v>71</v>
      </c>
      <c r="J15" s="168"/>
      <c r="K15" s="168"/>
      <c r="L15" s="66"/>
      <c r="M15" s="66"/>
      <c r="N15" s="66"/>
      <c r="O15" s="169"/>
    </row>
    <row r="16" spans="1:16" x14ac:dyDescent="0.2">
      <c r="A16" s="15" t="s">
        <v>34</v>
      </c>
      <c r="B16" s="103" t="s">
        <v>36</v>
      </c>
      <c r="C16" s="25"/>
      <c r="D16" s="26" t="s">
        <v>45</v>
      </c>
      <c r="E16" s="27"/>
      <c r="F16" s="16"/>
      <c r="I16" s="299" t="s">
        <v>67</v>
      </c>
      <c r="J16" s="300"/>
      <c r="K16" s="300" t="s">
        <v>68</v>
      </c>
      <c r="L16" s="301">
        <v>3000</v>
      </c>
      <c r="M16" s="300" t="s">
        <v>69</v>
      </c>
      <c r="N16" s="300" t="s">
        <v>70</v>
      </c>
      <c r="O16" s="302">
        <v>0.55000000000000004</v>
      </c>
      <c r="P16" s="18">
        <v>1</v>
      </c>
    </row>
    <row r="17" spans="1:16" x14ac:dyDescent="0.2">
      <c r="A17" s="17" t="s">
        <v>35</v>
      </c>
      <c r="B17" s="3" t="s">
        <v>31</v>
      </c>
      <c r="C17" s="9"/>
      <c r="D17" s="28" t="s">
        <v>44</v>
      </c>
      <c r="E17" s="10"/>
      <c r="F17" s="8"/>
      <c r="I17" s="303" t="s">
        <v>67</v>
      </c>
      <c r="J17" s="304"/>
      <c r="K17" s="304" t="s">
        <v>68</v>
      </c>
      <c r="L17" s="305">
        <v>5000</v>
      </c>
      <c r="M17" s="304" t="s">
        <v>69</v>
      </c>
      <c r="N17" s="304" t="s">
        <v>70</v>
      </c>
      <c r="O17" s="306">
        <v>0.53</v>
      </c>
      <c r="P17" s="18">
        <v>2</v>
      </c>
    </row>
    <row r="18" spans="1:16" x14ac:dyDescent="0.2">
      <c r="A18" s="2"/>
      <c r="B18" s="9"/>
      <c r="C18" s="9"/>
      <c r="D18" s="10"/>
      <c r="E18" s="10"/>
      <c r="F18" s="8"/>
      <c r="I18" s="303" t="s">
        <v>67</v>
      </c>
      <c r="J18" s="304"/>
      <c r="K18" s="304" t="s">
        <v>68</v>
      </c>
      <c r="L18" s="305">
        <v>10000</v>
      </c>
      <c r="M18" s="304" t="s">
        <v>69</v>
      </c>
      <c r="N18" s="304" t="s">
        <v>70</v>
      </c>
      <c r="O18" s="307">
        <v>0.51</v>
      </c>
      <c r="P18" s="18">
        <v>3</v>
      </c>
    </row>
    <row r="19" spans="1:16" x14ac:dyDescent="0.2">
      <c r="A19" s="2" t="s">
        <v>12</v>
      </c>
      <c r="B19" s="4">
        <v>1636</v>
      </c>
      <c r="C19" s="3" t="s">
        <v>29</v>
      </c>
      <c r="D19" s="154">
        <v>0.3</v>
      </c>
      <c r="E19" s="28" t="s">
        <v>30</v>
      </c>
      <c r="F19" s="8"/>
      <c r="I19" s="303" t="s">
        <v>67</v>
      </c>
      <c r="J19" s="304"/>
      <c r="K19" s="304" t="s">
        <v>68</v>
      </c>
      <c r="L19" s="305">
        <v>15000</v>
      </c>
      <c r="M19" s="304" t="s">
        <v>69</v>
      </c>
      <c r="N19" s="304" t="s">
        <v>70</v>
      </c>
      <c r="O19" s="306">
        <v>0.5</v>
      </c>
      <c r="P19" s="18">
        <v>4</v>
      </c>
    </row>
    <row r="20" spans="1:16" x14ac:dyDescent="0.2">
      <c r="A20" s="2" t="s">
        <v>13</v>
      </c>
      <c r="B20" s="4">
        <v>1636</v>
      </c>
      <c r="C20" s="3" t="s">
        <v>29</v>
      </c>
      <c r="D20" s="154">
        <v>0.15</v>
      </c>
      <c r="E20" s="28" t="s">
        <v>30</v>
      </c>
      <c r="F20" s="8"/>
      <c r="I20" s="303" t="s">
        <v>67</v>
      </c>
      <c r="J20" s="304"/>
      <c r="K20" s="304" t="s">
        <v>68</v>
      </c>
      <c r="L20" s="305">
        <v>20000</v>
      </c>
      <c r="M20" s="304" t="s">
        <v>69</v>
      </c>
      <c r="N20" s="304" t="s">
        <v>70</v>
      </c>
      <c r="O20" s="308">
        <v>0.48</v>
      </c>
      <c r="P20" s="18">
        <v>5</v>
      </c>
    </row>
    <row r="21" spans="1:16" x14ac:dyDescent="0.2">
      <c r="A21" s="2" t="s">
        <v>14</v>
      </c>
      <c r="B21" s="4">
        <v>1636</v>
      </c>
      <c r="C21" s="3" t="s">
        <v>29</v>
      </c>
      <c r="D21" s="154">
        <v>0.15</v>
      </c>
      <c r="E21" s="28" t="s">
        <v>30</v>
      </c>
      <c r="F21" s="8"/>
      <c r="I21" s="303" t="s">
        <v>67</v>
      </c>
      <c r="J21" s="304"/>
      <c r="K21" s="304" t="s">
        <v>68</v>
      </c>
      <c r="L21" s="305">
        <v>25000</v>
      </c>
      <c r="M21" s="304" t="s">
        <v>69</v>
      </c>
      <c r="N21" s="304" t="s">
        <v>70</v>
      </c>
      <c r="O21" s="306">
        <v>0.46</v>
      </c>
      <c r="P21" s="18">
        <v>6</v>
      </c>
    </row>
    <row r="22" spans="1:16" ht="13.5" thickBot="1" x14ac:dyDescent="0.25">
      <c r="A22" s="1" t="s">
        <v>15</v>
      </c>
      <c r="B22" s="29">
        <v>1636</v>
      </c>
      <c r="C22" s="30" t="s">
        <v>29</v>
      </c>
      <c r="D22" s="155">
        <v>0.15</v>
      </c>
      <c r="E22" s="31" t="s">
        <v>30</v>
      </c>
      <c r="F22" s="20"/>
      <c r="I22" s="303" t="s">
        <v>67</v>
      </c>
      <c r="J22" s="304"/>
      <c r="K22" s="304" t="s">
        <v>68</v>
      </c>
      <c r="L22" s="305">
        <v>30000</v>
      </c>
      <c r="M22" s="304" t="s">
        <v>69</v>
      </c>
      <c r="N22" s="304" t="s">
        <v>70</v>
      </c>
      <c r="O22" s="308">
        <v>0.43</v>
      </c>
      <c r="P22" s="18">
        <v>7</v>
      </c>
    </row>
    <row r="23" spans="1:16" x14ac:dyDescent="0.2">
      <c r="I23" s="303" t="s">
        <v>67</v>
      </c>
      <c r="J23" s="304"/>
      <c r="K23" s="304" t="s">
        <v>68</v>
      </c>
      <c r="L23" s="305">
        <v>40000</v>
      </c>
      <c r="M23" s="304" t="s">
        <v>69</v>
      </c>
      <c r="N23" s="304" t="s">
        <v>70</v>
      </c>
      <c r="O23" s="306">
        <v>0.4</v>
      </c>
      <c r="P23" s="18">
        <v>8</v>
      </c>
    </row>
    <row r="24" spans="1:16" ht="13.5" thickBot="1" x14ac:dyDescent="0.25">
      <c r="I24" s="303" t="s">
        <v>67</v>
      </c>
      <c r="J24" s="304"/>
      <c r="K24" s="304" t="s">
        <v>68</v>
      </c>
      <c r="L24" s="305">
        <v>50000</v>
      </c>
      <c r="M24" s="304" t="s">
        <v>69</v>
      </c>
      <c r="N24" s="304" t="s">
        <v>70</v>
      </c>
      <c r="O24" s="308">
        <v>0.36</v>
      </c>
      <c r="P24" s="18">
        <v>9</v>
      </c>
    </row>
    <row r="25" spans="1:16" ht="13.5" thickBot="1" x14ac:dyDescent="0.25">
      <c r="A25" s="160" t="s">
        <v>50</v>
      </c>
      <c r="B25" s="161"/>
      <c r="C25" s="161"/>
      <c r="D25" s="161"/>
      <c r="E25" s="161"/>
      <c r="F25" s="162"/>
      <c r="G25" s="132"/>
      <c r="I25" s="303" t="s">
        <v>67</v>
      </c>
      <c r="J25" s="304"/>
      <c r="K25" s="304" t="s">
        <v>68</v>
      </c>
      <c r="L25" s="305">
        <v>60000</v>
      </c>
      <c r="M25" s="304" t="s">
        <v>69</v>
      </c>
      <c r="N25" s="304" t="s">
        <v>70</v>
      </c>
      <c r="O25" s="306">
        <v>0.32</v>
      </c>
      <c r="P25" s="18">
        <v>10</v>
      </c>
    </row>
    <row r="26" spans="1:16" x14ac:dyDescent="0.2">
      <c r="A26" s="5"/>
      <c r="B26" s="6"/>
      <c r="C26" s="6"/>
      <c r="D26" s="102" t="s">
        <v>64</v>
      </c>
      <c r="E26" s="7"/>
      <c r="F26" s="101" t="s">
        <v>66</v>
      </c>
      <c r="G26" s="135"/>
      <c r="I26" s="303" t="s">
        <v>67</v>
      </c>
      <c r="J26" s="304"/>
      <c r="K26" s="304" t="s">
        <v>68</v>
      </c>
      <c r="L26" s="305">
        <v>70000</v>
      </c>
      <c r="M26" s="304" t="s">
        <v>69</v>
      </c>
      <c r="N26" s="304" t="s">
        <v>70</v>
      </c>
      <c r="O26" s="308">
        <v>0.28000000000000003</v>
      </c>
      <c r="P26" s="18">
        <v>11</v>
      </c>
    </row>
    <row r="27" spans="1:16" ht="13.5" customHeight="1" x14ac:dyDescent="0.2">
      <c r="A27" s="165"/>
      <c r="B27" s="163"/>
      <c r="C27" s="163"/>
      <c r="D27" s="164" t="s">
        <v>63</v>
      </c>
      <c r="E27" s="18"/>
      <c r="F27" s="166" t="s">
        <v>65</v>
      </c>
      <c r="G27" s="135" t="s">
        <v>48</v>
      </c>
      <c r="I27" s="303" t="s">
        <v>67</v>
      </c>
      <c r="J27" s="304"/>
      <c r="K27" s="304" t="s">
        <v>68</v>
      </c>
      <c r="L27" s="305">
        <v>80000</v>
      </c>
      <c r="M27" s="304" t="s">
        <v>69</v>
      </c>
      <c r="N27" s="304" t="s">
        <v>70</v>
      </c>
      <c r="O27" s="306">
        <v>0.24</v>
      </c>
      <c r="P27" s="18">
        <v>12</v>
      </c>
    </row>
    <row r="28" spans="1:16" x14ac:dyDescent="0.2">
      <c r="A28" s="2"/>
      <c r="D28" s="159">
        <v>0</v>
      </c>
      <c r="F28" s="8"/>
      <c r="G28" s="136">
        <f>F29</f>
        <v>2</v>
      </c>
      <c r="I28" s="303" t="s">
        <v>67</v>
      </c>
      <c r="J28" s="304"/>
      <c r="K28" s="304" t="s">
        <v>68</v>
      </c>
      <c r="L28" s="305">
        <v>90000</v>
      </c>
      <c r="M28" s="304" t="s">
        <v>69</v>
      </c>
      <c r="N28" s="304" t="s">
        <v>70</v>
      </c>
      <c r="O28" s="308">
        <v>0.2</v>
      </c>
      <c r="P28" s="18">
        <v>13</v>
      </c>
    </row>
    <row r="29" spans="1:16" x14ac:dyDescent="0.2">
      <c r="A29" s="23" t="s">
        <v>28</v>
      </c>
      <c r="B29" s="21" t="s">
        <v>33</v>
      </c>
      <c r="C29" s="9"/>
      <c r="D29" s="10">
        <v>7500</v>
      </c>
      <c r="F29" s="11">
        <v>2</v>
      </c>
      <c r="G29" s="136">
        <f t="shared" ref="G29:G36" si="1">(D30-$G$2)*((F29-F30)/(D30-D29))+F30</f>
        <v>2.5</v>
      </c>
      <c r="H29" s="108"/>
      <c r="I29" s="303" t="s">
        <v>67</v>
      </c>
      <c r="J29" s="304"/>
      <c r="K29" s="304" t="s">
        <v>68</v>
      </c>
      <c r="L29" s="305">
        <v>120000</v>
      </c>
      <c r="M29" s="304" t="s">
        <v>69</v>
      </c>
      <c r="N29" s="304" t="s">
        <v>70</v>
      </c>
      <c r="O29" s="306">
        <v>0.15</v>
      </c>
      <c r="P29" s="18">
        <v>14</v>
      </c>
    </row>
    <row r="30" spans="1:16" x14ac:dyDescent="0.2">
      <c r="A30" s="23" t="s">
        <v>28</v>
      </c>
      <c r="B30" s="21" t="s">
        <v>33</v>
      </c>
      <c r="C30" s="9"/>
      <c r="D30" s="10">
        <v>10000</v>
      </c>
      <c r="E30" s="10"/>
      <c r="F30" s="11">
        <v>1.5</v>
      </c>
      <c r="G30" s="136">
        <f t="shared" si="1"/>
        <v>1.75</v>
      </c>
      <c r="H30" s="109"/>
      <c r="I30" s="303" t="s">
        <v>67</v>
      </c>
      <c r="J30" s="304"/>
      <c r="K30" s="304" t="s">
        <v>68</v>
      </c>
      <c r="L30" s="305">
        <v>250000</v>
      </c>
      <c r="M30" s="304" t="s">
        <v>69</v>
      </c>
      <c r="N30" s="304" t="s">
        <v>70</v>
      </c>
      <c r="O30" s="309">
        <v>0.12</v>
      </c>
      <c r="P30" s="18">
        <v>15</v>
      </c>
    </row>
    <row r="31" spans="1:16" ht="13.5" thickBot="1" x14ac:dyDescent="0.25">
      <c r="A31" s="23" t="s">
        <v>28</v>
      </c>
      <c r="B31" s="21" t="s">
        <v>33</v>
      </c>
      <c r="C31" s="9"/>
      <c r="D31" s="10">
        <v>20000</v>
      </c>
      <c r="E31" s="10"/>
      <c r="F31" s="11">
        <v>1</v>
      </c>
      <c r="G31" s="136">
        <f t="shared" si="1"/>
        <v>1.1499999999999999</v>
      </c>
      <c r="H31" s="109"/>
      <c r="I31" s="310" t="s">
        <v>67</v>
      </c>
      <c r="J31" s="311"/>
      <c r="K31" s="311" t="s">
        <v>68</v>
      </c>
      <c r="L31" s="312">
        <v>500000</v>
      </c>
      <c r="M31" s="311" t="s">
        <v>69</v>
      </c>
      <c r="N31" s="311" t="s">
        <v>70</v>
      </c>
      <c r="O31" s="313">
        <v>0.1</v>
      </c>
      <c r="P31" s="18">
        <v>16</v>
      </c>
    </row>
    <row r="32" spans="1:16" x14ac:dyDescent="0.2">
      <c r="A32" s="23" t="s">
        <v>28</v>
      </c>
      <c r="B32" s="21" t="s">
        <v>33</v>
      </c>
      <c r="C32" s="9"/>
      <c r="D32" s="10">
        <v>30000</v>
      </c>
      <c r="E32" s="10"/>
      <c r="F32" s="11">
        <v>0.9</v>
      </c>
      <c r="G32" s="136">
        <f t="shared" si="1"/>
        <v>1.1500000000000001</v>
      </c>
      <c r="H32" s="109"/>
    </row>
    <row r="33" spans="1:15" x14ac:dyDescent="0.2">
      <c r="A33" s="23" t="s">
        <v>28</v>
      </c>
      <c r="B33" s="21" t="s">
        <v>33</v>
      </c>
      <c r="C33" s="9"/>
      <c r="D33" s="10">
        <v>50000</v>
      </c>
      <c r="E33" s="10"/>
      <c r="F33" s="11">
        <v>0.7</v>
      </c>
      <c r="G33" s="136">
        <f t="shared" si="1"/>
        <v>0.87999999999999989</v>
      </c>
      <c r="H33" s="109"/>
    </row>
    <row r="34" spans="1:15" x14ac:dyDescent="0.2">
      <c r="A34" s="23" t="s">
        <v>28</v>
      </c>
      <c r="B34" s="21" t="s">
        <v>33</v>
      </c>
      <c r="C34" s="9"/>
      <c r="D34" s="10">
        <v>100000</v>
      </c>
      <c r="E34" s="10"/>
      <c r="F34" s="11">
        <v>0.5</v>
      </c>
      <c r="G34" s="136">
        <f t="shared" si="1"/>
        <v>0.62666666666666671</v>
      </c>
      <c r="H34" s="109"/>
      <c r="I34" s="18"/>
      <c r="J34" s="172"/>
      <c r="K34" s="172"/>
      <c r="O34" s="34"/>
    </row>
    <row r="35" spans="1:15" x14ac:dyDescent="0.2">
      <c r="A35" s="23" t="s">
        <v>28</v>
      </c>
      <c r="B35" s="21" t="s">
        <v>33</v>
      </c>
      <c r="C35" s="9"/>
      <c r="D35" s="10">
        <v>250000</v>
      </c>
      <c r="E35" s="10"/>
      <c r="F35" s="11">
        <v>0.3</v>
      </c>
      <c r="G35" s="136">
        <f t="shared" si="1"/>
        <v>0.39799999999999996</v>
      </c>
      <c r="H35" s="109"/>
      <c r="I35" s="18"/>
      <c r="J35" s="172"/>
      <c r="K35" s="172"/>
      <c r="L35" s="173"/>
      <c r="M35" s="172"/>
      <c r="N35" s="144"/>
      <c r="O35" s="56"/>
    </row>
    <row r="36" spans="1:15" x14ac:dyDescent="0.2">
      <c r="A36" s="23" t="s">
        <v>28</v>
      </c>
      <c r="B36" s="21" t="s">
        <v>33</v>
      </c>
      <c r="C36" s="9"/>
      <c r="D36" s="10">
        <v>500000</v>
      </c>
      <c r="E36" s="10"/>
      <c r="F36" s="11">
        <v>0.2</v>
      </c>
      <c r="G36" s="136">
        <f t="shared" si="1"/>
        <v>0.29900000000000004</v>
      </c>
      <c r="H36" s="109"/>
      <c r="I36" s="18"/>
      <c r="J36" s="172"/>
      <c r="K36" s="172"/>
      <c r="L36" s="173"/>
      <c r="M36" s="172"/>
      <c r="N36" s="144"/>
      <c r="O36" s="56"/>
    </row>
    <row r="37" spans="1:15" ht="13.5" thickBot="1" x14ac:dyDescent="0.25">
      <c r="A37" s="24" t="s">
        <v>28</v>
      </c>
      <c r="B37" s="22" t="s">
        <v>33</v>
      </c>
      <c r="C37" s="12"/>
      <c r="D37" s="13">
        <v>1000000</v>
      </c>
      <c r="E37" s="13"/>
      <c r="F37" s="14">
        <v>0.1</v>
      </c>
      <c r="G37" s="136">
        <f>F37</f>
        <v>0.1</v>
      </c>
      <c r="I37" s="18"/>
      <c r="J37" s="172"/>
      <c r="K37" s="172"/>
      <c r="L37" s="173"/>
      <c r="M37" s="172"/>
      <c r="N37" s="144"/>
      <c r="O37" s="56"/>
    </row>
    <row r="38" spans="1:15" ht="13.5" thickBot="1" x14ac:dyDescent="0.25">
      <c r="I38" s="18"/>
      <c r="J38" s="172"/>
      <c r="K38" s="172"/>
      <c r="L38" s="173"/>
      <c r="M38" s="172"/>
      <c r="N38" s="144"/>
      <c r="O38" s="56"/>
    </row>
    <row r="39" spans="1:15" ht="13.5" thickBot="1" x14ac:dyDescent="0.25">
      <c r="A39" s="320"/>
      <c r="B39" s="321"/>
      <c r="C39" s="321"/>
      <c r="D39" s="321"/>
      <c r="E39" s="321"/>
      <c r="F39" s="322" t="str">
        <f>F14</f>
        <v>gennaio 2024 / Jänner 2024</v>
      </c>
      <c r="I39" s="18"/>
      <c r="J39" s="172"/>
      <c r="K39" s="172"/>
      <c r="L39" s="173"/>
      <c r="M39" s="172"/>
      <c r="N39" s="144"/>
      <c r="O39" s="56"/>
    </row>
    <row r="40" spans="1:15" ht="13.5" thickBot="1" x14ac:dyDescent="0.25">
      <c r="A40" s="104" t="s">
        <v>73</v>
      </c>
      <c r="B40" s="66"/>
      <c r="C40" s="66"/>
      <c r="D40" s="66"/>
      <c r="E40" s="66"/>
      <c r="F40" s="105"/>
      <c r="G40" s="132"/>
      <c r="I40" s="18"/>
      <c r="J40" s="172"/>
      <c r="K40" s="172"/>
      <c r="L40" s="173"/>
      <c r="M40" s="172"/>
      <c r="N40" s="144"/>
      <c r="O40" s="56"/>
    </row>
    <row r="41" spans="1:15" x14ac:dyDescent="0.2">
      <c r="A41" s="15" t="s">
        <v>34</v>
      </c>
      <c r="B41" s="103" t="s">
        <v>36</v>
      </c>
      <c r="C41" s="25"/>
      <c r="D41" s="26" t="s">
        <v>61</v>
      </c>
      <c r="E41" s="27"/>
      <c r="F41" s="16"/>
      <c r="I41" s="18"/>
      <c r="J41" s="172"/>
      <c r="K41" s="172"/>
      <c r="L41" s="173"/>
      <c r="M41" s="172"/>
      <c r="N41" s="144"/>
      <c r="O41" s="56"/>
    </row>
    <row r="42" spans="1:15" x14ac:dyDescent="0.2">
      <c r="A42" s="17" t="s">
        <v>35</v>
      </c>
      <c r="B42" s="3" t="s">
        <v>31</v>
      </c>
      <c r="C42" s="9"/>
      <c r="D42" s="28" t="s">
        <v>47</v>
      </c>
      <c r="E42" s="10"/>
      <c r="F42" s="8"/>
      <c r="I42" s="18"/>
      <c r="J42" s="172"/>
      <c r="K42" s="172"/>
      <c r="L42" s="173"/>
      <c r="M42" s="172"/>
      <c r="N42" s="144"/>
      <c r="O42" s="56"/>
    </row>
    <row r="43" spans="1:15" x14ac:dyDescent="0.2">
      <c r="A43" s="2"/>
      <c r="B43" s="9"/>
      <c r="C43" s="9"/>
      <c r="D43" s="10"/>
      <c r="E43" s="10"/>
      <c r="F43" s="8"/>
      <c r="I43" s="18"/>
      <c r="J43" s="172"/>
      <c r="K43" s="172"/>
      <c r="L43" s="173"/>
      <c r="M43" s="172"/>
      <c r="N43" s="144"/>
      <c r="O43" s="56"/>
    </row>
    <row r="44" spans="1:15" x14ac:dyDescent="0.2">
      <c r="A44" s="2" t="s">
        <v>12</v>
      </c>
      <c r="B44" s="4">
        <v>818</v>
      </c>
      <c r="C44" s="3" t="s">
        <v>29</v>
      </c>
      <c r="D44" s="154">
        <v>2.5999999999999999E-2</v>
      </c>
      <c r="E44" s="28" t="s">
        <v>30</v>
      </c>
      <c r="F44" s="8"/>
      <c r="I44" s="18"/>
      <c r="J44" s="172"/>
      <c r="K44" s="172"/>
      <c r="L44" s="173"/>
      <c r="M44" s="172"/>
      <c r="N44" s="144"/>
      <c r="O44" s="56"/>
    </row>
    <row r="45" spans="1:15" x14ac:dyDescent="0.2">
      <c r="A45" s="2" t="s">
        <v>13</v>
      </c>
      <c r="B45" s="4">
        <v>1636</v>
      </c>
      <c r="C45" s="3" t="s">
        <v>29</v>
      </c>
      <c r="D45" s="154">
        <v>5.1999999999999998E-2</v>
      </c>
      <c r="E45" s="28" t="s">
        <v>30</v>
      </c>
      <c r="F45" s="8"/>
      <c r="I45" s="18"/>
      <c r="J45" s="172"/>
      <c r="K45" s="172"/>
      <c r="L45" s="173"/>
      <c r="M45" s="172"/>
      <c r="N45" s="144"/>
      <c r="O45" s="56"/>
    </row>
    <row r="46" spans="1:15" x14ac:dyDescent="0.2">
      <c r="A46" s="2" t="s">
        <v>14</v>
      </c>
      <c r="B46" s="4">
        <v>1636</v>
      </c>
      <c r="C46" s="3" t="s">
        <v>29</v>
      </c>
      <c r="D46" s="154">
        <v>5.1999999999999998E-2</v>
      </c>
      <c r="E46" s="28" t="s">
        <v>30</v>
      </c>
      <c r="F46" s="8"/>
      <c r="I46" s="18"/>
      <c r="J46" s="172"/>
      <c r="K46" s="172"/>
      <c r="L46" s="173"/>
      <c r="M46" s="172"/>
      <c r="N46" s="144"/>
      <c r="O46" s="56"/>
    </row>
    <row r="47" spans="1:15" ht="13.5" thickBot="1" x14ac:dyDescent="0.25">
      <c r="A47" s="1" t="s">
        <v>15</v>
      </c>
      <c r="B47" s="29">
        <v>1227</v>
      </c>
      <c r="C47" s="30" t="s">
        <v>29</v>
      </c>
      <c r="D47" s="155">
        <v>3.9E-2</v>
      </c>
      <c r="E47" s="31" t="s">
        <v>30</v>
      </c>
      <c r="F47" s="20"/>
      <c r="I47" s="18"/>
      <c r="J47" s="172"/>
      <c r="K47" s="172"/>
      <c r="L47" s="173"/>
      <c r="M47" s="172"/>
      <c r="N47" s="144"/>
      <c r="O47" s="56"/>
    </row>
  </sheetData>
  <sheetProtection algorithmName="SHA-512" hashValue="AE0Sjpv6wUqN4mWkkdbK+ER83dwYNCHYwjHP4TI+zqaULOuFrp5waj2+NpsPSwPdnGYbkEcvHtOcud9ml2howA==" saltValue="ueXr5P95BuEcxLi68LL8q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Header>&amp;LCalcolo del compenso professionale per l'elaborazione di piani di attuazione / Berechnung zur Vergütung für freiberufliche Leistungen zur Erstellung von Durchführungsplänen</oddHeader>
    <oddFooter>&amp;LOrdine degli Architetti, Pianificatori, Paesaggisti, Conservatori della Provincia di Bolzano
Kammer der Architekten, Raumplaner, Landschaftsplaner, Denkmalpfleger der Provinz Bozen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Calcolo_PdA_Berechnung_DFP</vt:lpstr>
      <vt:lpstr>Tab. PdA_DFP</vt:lpstr>
      <vt:lpstr>DBFTab10</vt:lpstr>
      <vt:lpstr>Calcolo_PdA_Berechnung_DFP!Druckbereich</vt:lpstr>
      <vt:lpstr>Calcolo_PdA_Berechnung_DFP!Drucktitel</vt:lpstr>
    </vt:vector>
  </TitlesOfParts>
  <Company>ordine-arch-bz-kammer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ordine-arch-bz-kammer</dc:creator>
  <cp:lastModifiedBy>Arch. Wolfgang Thaler</cp:lastModifiedBy>
  <cp:lastPrinted>2014-11-29T20:39:49Z</cp:lastPrinted>
  <dcterms:created xsi:type="dcterms:W3CDTF">2002-01-18T11:32:16Z</dcterms:created>
  <dcterms:modified xsi:type="dcterms:W3CDTF">2024-04-30T08:53:36Z</dcterms:modified>
  <cp:version>2013-01</cp:version>
</cp:coreProperties>
</file>